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embeddings/oleObject8.bin" ContentType="application/vnd.openxmlformats-officedocument.oleObject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mbeddings/oleObject9.bin" ContentType="application/vnd.openxmlformats-officedocument.oleObject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embeddings/oleObject7.bin" ContentType="application/vnd.openxmlformats-officedocument.oleObject"/>
  <Override PartName="/xl/worksheets/sheet14.xml" ContentType="application/vnd.openxmlformats-officedocument.spreadsheetml.worksheet+xml"/>
  <Override PartName="/xl/embeddings/oleObject5.bin" ContentType="application/vnd.openxmlformats-officedocument.oleObject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185" yWindow="-15" windowWidth="7200" windowHeight="5730"/>
  </bookViews>
  <sheets>
    <sheet name="Title" sheetId="52" r:id="rId1"/>
    <sheet name="Soil_profile_description" sheetId="30" r:id="rId2"/>
    <sheet name="Farming practices" sheetId="29" r:id="rId3"/>
    <sheet name="soil_texture_Karaozyak" sheetId="26" r:id="rId4"/>
    <sheet name="infiltration_rate" sheetId="28" r:id="rId5"/>
    <sheet name="Field_Capacity_Karaozyak" sheetId="17" r:id="rId6"/>
    <sheet name="Field_Capacity_Chimbay" sheetId="44" r:id="rId7"/>
    <sheet name="soil_bulk_density_Karaozyak" sheetId="11" r:id="rId8"/>
    <sheet name="soil_bulk_density_Chimbay" sheetId="42" r:id="rId9"/>
    <sheet name="initial_soil_moisture" sheetId="34" r:id="rId10"/>
    <sheet name="soil_moisture_06_11_2015" sheetId="51" r:id="rId11"/>
    <sheet name="soil_moistUre_18_10_15" sheetId="35" r:id="rId12"/>
    <sheet name="soil_moistUre_10_12_15" sheetId="45" r:id="rId13"/>
    <sheet name="NPK_Karaozyak" sheetId="23" r:id="rId14"/>
    <sheet name="FC_12-15_Nov_15_Karaozyak" sheetId="43" r:id="rId15"/>
    <sheet name="soil_chemical_23_Sep_2015" sheetId="39" r:id="rId16"/>
    <sheet name="EC_meter_9_ноя_2015" sheetId="40" r:id="rId17"/>
    <sheet name="EC_meter_23_Sep_2015" sheetId="41" r:id="rId18"/>
    <sheet name="Groundwater_quality1" sheetId="46" r:id="rId19"/>
    <sheet name="Soil_Moist_30_Oct_2015" sheetId="47" r:id="rId20"/>
    <sheet name="TDR" sheetId="49" r:id="rId21"/>
    <sheet name="germination" sheetId="53" r:id="rId22"/>
  </sheets>
  <definedNames>
    <definedName name="_xlnm._FilterDatabase" localSheetId="14" hidden="1">'FC_12-15_Nov_15_Karaozyak'!$A$3:$BP$74</definedName>
    <definedName name="_xlnm._FilterDatabase" localSheetId="9" hidden="1">initial_soil_moisture!$A$7:$M$102</definedName>
    <definedName name="_xlnm._FilterDatabase" localSheetId="8" hidden="1">soil_bulk_density_Chimbay!$A$11:$L$56</definedName>
    <definedName name="_xlnm._FilterDatabase" localSheetId="19" hidden="1">Soil_Moist_30_Oct_2015!$A$8:$N$99</definedName>
    <definedName name="_xlnm._FilterDatabase" localSheetId="10" hidden="1">soil_moisture_06_11_2015!$B$3:$O$123</definedName>
    <definedName name="_xlnm._FilterDatabase" localSheetId="12" hidden="1">soil_moistUre_10_12_15!$A$2:$M$13</definedName>
    <definedName name="_xlnm._FilterDatabase" localSheetId="11" hidden="1">soil_moistUre_18_10_15!$A$2:$M$68</definedName>
  </definedNames>
  <calcPr calcId="125725"/>
</workbook>
</file>

<file path=xl/calcChain.xml><?xml version="1.0" encoding="utf-8"?>
<calcChain xmlns="http://schemas.openxmlformats.org/spreadsheetml/2006/main">
  <c r="M123" i="51"/>
  <c r="L123"/>
  <c r="N123" s="1"/>
  <c r="N122"/>
  <c r="M122"/>
  <c r="L122"/>
  <c r="N121"/>
  <c r="M121"/>
  <c r="L121"/>
  <c r="M120"/>
  <c r="L120"/>
  <c r="N120" s="1"/>
  <c r="M119"/>
  <c r="L119"/>
  <c r="N119" s="1"/>
  <c r="N118"/>
  <c r="M118"/>
  <c r="L118"/>
  <c r="N117"/>
  <c r="M117"/>
  <c r="L117"/>
  <c r="M116"/>
  <c r="L116"/>
  <c r="N116" s="1"/>
  <c r="M115"/>
  <c r="L115"/>
  <c r="N115" s="1"/>
  <c r="N114"/>
  <c r="M114"/>
  <c r="L114"/>
  <c r="N113"/>
  <c r="M113"/>
  <c r="L113"/>
  <c r="M112"/>
  <c r="L112"/>
  <c r="N112" s="1"/>
  <c r="M111"/>
  <c r="L111"/>
  <c r="N111" s="1"/>
  <c r="N110"/>
  <c r="M110"/>
  <c r="L110"/>
  <c r="N109"/>
  <c r="M109"/>
  <c r="L109"/>
  <c r="M108"/>
  <c r="L108"/>
  <c r="N108" s="1"/>
  <c r="M107"/>
  <c r="L107"/>
  <c r="N107" s="1"/>
  <c r="N106"/>
  <c r="M106"/>
  <c r="L106"/>
  <c r="N105"/>
  <c r="M105"/>
  <c r="L105"/>
  <c r="M104"/>
  <c r="L104"/>
  <c r="N104" s="1"/>
  <c r="M103"/>
  <c r="L103"/>
  <c r="N103" s="1"/>
  <c r="N102"/>
  <c r="M102"/>
  <c r="L102"/>
  <c r="N101"/>
  <c r="M101"/>
  <c r="L101"/>
  <c r="M100"/>
  <c r="L100"/>
  <c r="N100" s="1"/>
  <c r="M99"/>
  <c r="L99"/>
  <c r="N99" s="1"/>
  <c r="N98"/>
  <c r="M98"/>
  <c r="L98"/>
  <c r="N97"/>
  <c r="M97"/>
  <c r="L97"/>
  <c r="M96"/>
  <c r="L96"/>
  <c r="N96" s="1"/>
  <c r="M95"/>
  <c r="L95"/>
  <c r="N95" s="1"/>
  <c r="N94"/>
  <c r="M94"/>
  <c r="L94"/>
  <c r="N93"/>
  <c r="M93"/>
  <c r="L93"/>
  <c r="M92"/>
  <c r="L92"/>
  <c r="N92" s="1"/>
  <c r="M91"/>
  <c r="L91"/>
  <c r="N91" s="1"/>
  <c r="N90"/>
  <c r="M90"/>
  <c r="L90"/>
  <c r="N89"/>
  <c r="M89"/>
  <c r="L89"/>
  <c r="M88"/>
  <c r="L88"/>
  <c r="N88" s="1"/>
  <c r="M87"/>
  <c r="L87"/>
  <c r="N87" s="1"/>
  <c r="N86"/>
  <c r="M86"/>
  <c r="L86"/>
  <c r="N85"/>
  <c r="M85"/>
  <c r="L85"/>
  <c r="M84"/>
  <c r="L84"/>
  <c r="N84" s="1"/>
  <c r="M83"/>
  <c r="L83"/>
  <c r="N83" s="1"/>
  <c r="N82"/>
  <c r="M82"/>
  <c r="L82"/>
  <c r="N81"/>
  <c r="M81"/>
  <c r="L81"/>
  <c r="M80"/>
  <c r="L80"/>
  <c r="N80" s="1"/>
  <c r="M79"/>
  <c r="L79"/>
  <c r="N79" s="1"/>
  <c r="N78"/>
  <c r="M78"/>
  <c r="L78"/>
  <c r="N77"/>
  <c r="M77"/>
  <c r="L77"/>
  <c r="M76"/>
  <c r="L76"/>
  <c r="N76" s="1"/>
  <c r="M75"/>
  <c r="L75"/>
  <c r="N75" s="1"/>
  <c r="N74"/>
  <c r="M74"/>
  <c r="L74"/>
  <c r="N73"/>
  <c r="M73"/>
  <c r="L73"/>
  <c r="M72"/>
  <c r="L72"/>
  <c r="N72" s="1"/>
  <c r="M71"/>
  <c r="L71"/>
  <c r="N71" s="1"/>
  <c r="N70"/>
  <c r="M70"/>
  <c r="L70"/>
  <c r="N69"/>
  <c r="M69"/>
  <c r="L69"/>
  <c r="M68"/>
  <c r="L68"/>
  <c r="N68" s="1"/>
  <c r="M67"/>
  <c r="L67"/>
  <c r="N67" s="1"/>
  <c r="N66"/>
  <c r="M66"/>
  <c r="L66"/>
  <c r="N65"/>
  <c r="M65"/>
  <c r="L65"/>
  <c r="M64"/>
  <c r="L64"/>
  <c r="N64" s="1"/>
  <c r="M63"/>
  <c r="L63"/>
  <c r="N63" s="1"/>
  <c r="N62"/>
  <c r="M62"/>
  <c r="L62"/>
  <c r="N61"/>
  <c r="M61"/>
  <c r="L61"/>
  <c r="M60"/>
  <c r="L60"/>
  <c r="N60" s="1"/>
  <c r="M59"/>
  <c r="L59"/>
  <c r="N59" s="1"/>
  <c r="N58"/>
  <c r="M58"/>
  <c r="L58"/>
  <c r="N57"/>
  <c r="M57"/>
  <c r="L57"/>
  <c r="M56"/>
  <c r="L56"/>
  <c r="N56" s="1"/>
  <c r="M55"/>
  <c r="L55"/>
  <c r="N55" s="1"/>
  <c r="N54"/>
  <c r="M54"/>
  <c r="L54"/>
  <c r="N53"/>
  <c r="M53"/>
  <c r="L53"/>
  <c r="M52"/>
  <c r="L52"/>
  <c r="N52" s="1"/>
  <c r="M51"/>
  <c r="L51"/>
  <c r="N51" s="1"/>
  <c r="N50"/>
  <c r="M50"/>
  <c r="L50"/>
  <c r="N49"/>
  <c r="M49"/>
  <c r="L49"/>
  <c r="M48"/>
  <c r="L48"/>
  <c r="N48" s="1"/>
  <c r="M47"/>
  <c r="L47"/>
  <c r="N47" s="1"/>
  <c r="N46"/>
  <c r="M46"/>
  <c r="L46"/>
  <c r="N45"/>
  <c r="M45"/>
  <c r="L45"/>
  <c r="M44"/>
  <c r="L44"/>
  <c r="N44" s="1"/>
  <c r="M43"/>
  <c r="L43"/>
  <c r="N43" s="1"/>
  <c r="N42"/>
  <c r="M42"/>
  <c r="L42"/>
  <c r="N41"/>
  <c r="M41"/>
  <c r="L41"/>
  <c r="M40"/>
  <c r="L40"/>
  <c r="N40" s="1"/>
  <c r="M39"/>
  <c r="L39"/>
  <c r="N39" s="1"/>
  <c r="N38"/>
  <c r="M38"/>
  <c r="L38"/>
  <c r="N37"/>
  <c r="M37"/>
  <c r="L37"/>
  <c r="M36"/>
  <c r="L36"/>
  <c r="N36" s="1"/>
  <c r="M35"/>
  <c r="L35"/>
  <c r="N35" s="1"/>
  <c r="N34"/>
  <c r="M34"/>
  <c r="L34"/>
  <c r="N33"/>
  <c r="M33"/>
  <c r="L33"/>
  <c r="M32"/>
  <c r="L32"/>
  <c r="N32" s="1"/>
  <c r="M31"/>
  <c r="L31"/>
  <c r="N31" s="1"/>
  <c r="N30"/>
  <c r="M30"/>
  <c r="L30"/>
  <c r="N29"/>
  <c r="M29"/>
  <c r="L29"/>
  <c r="M28"/>
  <c r="L28"/>
  <c r="N28" s="1"/>
  <c r="M27"/>
  <c r="L27"/>
  <c r="N27" s="1"/>
  <c r="N26"/>
  <c r="M26"/>
  <c r="L26"/>
  <c r="N25"/>
  <c r="M25"/>
  <c r="L25"/>
  <c r="M24"/>
  <c r="L24"/>
  <c r="N24" s="1"/>
  <c r="M23"/>
  <c r="L23"/>
  <c r="N23" s="1"/>
  <c r="N22"/>
  <c r="M22"/>
  <c r="L22"/>
  <c r="N21"/>
  <c r="M21"/>
  <c r="L21"/>
  <c r="M20"/>
  <c r="L20"/>
  <c r="N20" s="1"/>
  <c r="M19"/>
  <c r="L19"/>
  <c r="N19" s="1"/>
  <c r="N18"/>
  <c r="M18"/>
  <c r="L18"/>
  <c r="N17"/>
  <c r="M17"/>
  <c r="L17"/>
  <c r="M16"/>
  <c r="L16"/>
  <c r="N16" s="1"/>
  <c r="M15"/>
  <c r="L15"/>
  <c r="N15" s="1"/>
  <c r="N14"/>
  <c r="M14"/>
  <c r="L14"/>
  <c r="N13"/>
  <c r="M13"/>
  <c r="L13"/>
  <c r="M12"/>
  <c r="L12"/>
  <c r="N12" s="1"/>
  <c r="M11"/>
  <c r="L11"/>
  <c r="N11" s="1"/>
  <c r="N10"/>
  <c r="M10"/>
  <c r="L10"/>
  <c r="N9"/>
  <c r="M9"/>
  <c r="L9"/>
  <c r="M8"/>
  <c r="L8"/>
  <c r="N8" s="1"/>
  <c r="M7"/>
  <c r="L7"/>
  <c r="N7" s="1"/>
  <c r="N6"/>
  <c r="M6"/>
  <c r="L6"/>
  <c r="N5"/>
  <c r="M5"/>
  <c r="L5"/>
  <c r="M4"/>
  <c r="L4"/>
  <c r="N4" s="1"/>
  <c r="J314" i="49"/>
  <c r="K313"/>
  <c r="K314" s="1"/>
  <c r="J313"/>
  <c r="I313"/>
  <c r="I314" s="1"/>
  <c r="H313"/>
  <c r="H314" s="1"/>
  <c r="G313"/>
  <c r="F313"/>
  <c r="F314" s="1"/>
  <c r="E313"/>
  <c r="E314" s="1"/>
  <c r="D313"/>
  <c r="D314" s="1"/>
  <c r="C313"/>
  <c r="C314" s="1"/>
  <c r="B313"/>
  <c r="K301"/>
  <c r="K300"/>
  <c r="J300"/>
  <c r="J301" s="1"/>
  <c r="I300"/>
  <c r="I301" s="1"/>
  <c r="H300"/>
  <c r="H301" s="1"/>
  <c r="G300"/>
  <c r="F300"/>
  <c r="F301" s="1"/>
  <c r="E300"/>
  <c r="E301" s="1"/>
  <c r="D300"/>
  <c r="D301" s="1"/>
  <c r="C300"/>
  <c r="C301" s="1"/>
  <c r="B300"/>
  <c r="K287"/>
  <c r="K288" s="1"/>
  <c r="J287"/>
  <c r="J288" s="1"/>
  <c r="I287"/>
  <c r="I288" s="1"/>
  <c r="H287"/>
  <c r="H288" s="1"/>
  <c r="G287"/>
  <c r="F287"/>
  <c r="E287"/>
  <c r="D287"/>
  <c r="C287"/>
  <c r="B287"/>
  <c r="K274"/>
  <c r="K275" s="1"/>
  <c r="J274"/>
  <c r="J275" s="1"/>
  <c r="I274"/>
  <c r="I275" s="1"/>
  <c r="H274"/>
  <c r="H275" s="1"/>
  <c r="G274"/>
  <c r="F274"/>
  <c r="E274"/>
  <c r="D274"/>
  <c r="C274"/>
  <c r="B274"/>
  <c r="J262"/>
  <c r="K261"/>
  <c r="K262" s="1"/>
  <c r="J261"/>
  <c r="I261"/>
  <c r="I262" s="1"/>
  <c r="H261"/>
  <c r="H262" s="1"/>
  <c r="G261"/>
  <c r="F261"/>
  <c r="E261"/>
  <c r="D261"/>
  <c r="C261"/>
  <c r="B261"/>
  <c r="K249"/>
  <c r="K248"/>
  <c r="J248"/>
  <c r="J249" s="1"/>
  <c r="I248"/>
  <c r="I249" s="1"/>
  <c r="H248"/>
  <c r="H249" s="1"/>
  <c r="G248"/>
  <c r="F248"/>
  <c r="E248"/>
  <c r="D248"/>
  <c r="C248"/>
  <c r="B248"/>
  <c r="K235"/>
  <c r="K236" s="1"/>
  <c r="J235"/>
  <c r="J236" s="1"/>
  <c r="I235"/>
  <c r="I236" s="1"/>
  <c r="H235"/>
  <c r="H236" s="1"/>
  <c r="F235"/>
  <c r="E235"/>
  <c r="D235"/>
  <c r="C235"/>
  <c r="B235"/>
  <c r="G230"/>
  <c r="G235" s="1"/>
  <c r="K223"/>
  <c r="K222"/>
  <c r="J222"/>
  <c r="J223" s="1"/>
  <c r="I222"/>
  <c r="I223" s="1"/>
  <c r="H222"/>
  <c r="H223" s="1"/>
  <c r="G222"/>
  <c r="F222"/>
  <c r="E222"/>
  <c r="D222"/>
  <c r="C222"/>
  <c r="B222"/>
  <c r="K210"/>
  <c r="K209"/>
  <c r="J209"/>
  <c r="J210" s="1"/>
  <c r="I209"/>
  <c r="I210" s="1"/>
  <c r="H209"/>
  <c r="H210" s="1"/>
  <c r="G209"/>
  <c r="F209"/>
  <c r="E209"/>
  <c r="D209"/>
  <c r="C209"/>
  <c r="B209"/>
  <c r="K196"/>
  <c r="K197" s="1"/>
  <c r="J196"/>
  <c r="J197" s="1"/>
  <c r="I196"/>
  <c r="I197" s="1"/>
  <c r="H196"/>
  <c r="H197" s="1"/>
  <c r="G196"/>
  <c r="F196"/>
  <c r="E196"/>
  <c r="D196"/>
  <c r="C196"/>
  <c r="B196"/>
  <c r="K183"/>
  <c r="K184" s="1"/>
  <c r="J183"/>
  <c r="J184" s="1"/>
  <c r="I183"/>
  <c r="I184" s="1"/>
  <c r="H183"/>
  <c r="H184" s="1"/>
  <c r="G183"/>
  <c r="F183"/>
  <c r="E183"/>
  <c r="D183"/>
  <c r="C183"/>
  <c r="B183"/>
  <c r="K171"/>
  <c r="K170"/>
  <c r="J170"/>
  <c r="J171" s="1"/>
  <c r="I170"/>
  <c r="I171" s="1"/>
  <c r="H170"/>
  <c r="H171" s="1"/>
  <c r="G170"/>
  <c r="F170"/>
  <c r="E170"/>
  <c r="D170"/>
  <c r="C170"/>
  <c r="B170"/>
  <c r="K158"/>
  <c r="K157"/>
  <c r="J157"/>
  <c r="J158" s="1"/>
  <c r="I157"/>
  <c r="I158" s="1"/>
  <c r="H157"/>
  <c r="H158" s="1"/>
  <c r="G157"/>
  <c r="F157"/>
  <c r="F158" s="1"/>
  <c r="E157"/>
  <c r="D157"/>
  <c r="C157"/>
  <c r="B157"/>
  <c r="K144"/>
  <c r="K145" s="1"/>
  <c r="J144"/>
  <c r="J145" s="1"/>
  <c r="I144"/>
  <c r="I145" s="1"/>
  <c r="H144"/>
  <c r="H145" s="1"/>
  <c r="G144"/>
  <c r="F144"/>
  <c r="F145" s="1"/>
  <c r="E144"/>
  <c r="D144"/>
  <c r="C144"/>
  <c r="B144"/>
  <c r="K132"/>
  <c r="K131"/>
  <c r="J131"/>
  <c r="J132" s="1"/>
  <c r="I131"/>
  <c r="I132" s="1"/>
  <c r="H131"/>
  <c r="H132" s="1"/>
  <c r="G131"/>
  <c r="F131"/>
  <c r="E131"/>
  <c r="D131"/>
  <c r="C131"/>
  <c r="B131"/>
  <c r="K119"/>
  <c r="K118"/>
  <c r="J118"/>
  <c r="J119" s="1"/>
  <c r="I118"/>
  <c r="I119" s="1"/>
  <c r="H118"/>
  <c r="H119" s="1"/>
  <c r="G118"/>
  <c r="F118"/>
  <c r="E118"/>
  <c r="D118"/>
  <c r="C118"/>
  <c r="B118"/>
  <c r="K106"/>
  <c r="J106"/>
  <c r="K105"/>
  <c r="J105"/>
  <c r="I105"/>
  <c r="I106" s="1"/>
  <c r="H105"/>
  <c r="H106" s="1"/>
  <c r="F105"/>
  <c r="C105"/>
  <c r="B105"/>
  <c r="G102"/>
  <c r="G105" s="1"/>
  <c r="D102"/>
  <c r="J92"/>
  <c r="J93" s="1"/>
  <c r="I92"/>
  <c r="I93" s="1"/>
  <c r="H92"/>
  <c r="H93" s="1"/>
  <c r="G92"/>
  <c r="F92"/>
  <c r="E92"/>
  <c r="D92"/>
  <c r="C92"/>
  <c r="B92"/>
  <c r="K83"/>
  <c r="K92" s="1"/>
  <c r="K93" s="1"/>
  <c r="K79"/>
  <c r="K80" s="1"/>
  <c r="J79"/>
  <c r="J80" s="1"/>
  <c r="I79"/>
  <c r="I80" s="1"/>
  <c r="H79"/>
  <c r="H80" s="1"/>
  <c r="G79"/>
  <c r="F79"/>
  <c r="E79"/>
  <c r="D79"/>
  <c r="C79"/>
  <c r="B79"/>
  <c r="K67"/>
  <c r="K66"/>
  <c r="J66"/>
  <c r="J67" s="1"/>
  <c r="I66"/>
  <c r="I67" s="1"/>
  <c r="H66"/>
  <c r="H67" s="1"/>
  <c r="G66"/>
  <c r="F66"/>
  <c r="E66"/>
  <c r="D66"/>
  <c r="C66"/>
  <c r="B66"/>
  <c r="K53"/>
  <c r="K54" s="1"/>
  <c r="J53"/>
  <c r="J54" s="1"/>
  <c r="I53"/>
  <c r="I54" s="1"/>
  <c r="H53"/>
  <c r="H54" s="1"/>
  <c r="G53"/>
  <c r="F53"/>
  <c r="E53"/>
  <c r="D53"/>
  <c r="C53"/>
  <c r="B53"/>
  <c r="J41"/>
  <c r="I41"/>
  <c r="B41"/>
  <c r="K40"/>
  <c r="K41" s="1"/>
  <c r="J40"/>
  <c r="I40"/>
  <c r="H40"/>
  <c r="H41" s="1"/>
  <c r="G40"/>
  <c r="G41" s="1"/>
  <c r="F40"/>
  <c r="F41" s="1"/>
  <c r="E40"/>
  <c r="E41" s="1"/>
  <c r="D40"/>
  <c r="D41" s="1"/>
  <c r="C40"/>
  <c r="C41" s="1"/>
  <c r="B40"/>
  <c r="H28"/>
  <c r="D28"/>
  <c r="K27"/>
  <c r="K28" s="1"/>
  <c r="J27"/>
  <c r="J28" s="1"/>
  <c r="I27"/>
  <c r="I28" s="1"/>
  <c r="H27"/>
  <c r="G27"/>
  <c r="G28" s="1"/>
  <c r="F27"/>
  <c r="F28" s="1"/>
  <c r="E27"/>
  <c r="E28" s="1"/>
  <c r="D27"/>
  <c r="C27"/>
  <c r="C28" s="1"/>
  <c r="B27"/>
  <c r="B28" s="1"/>
  <c r="K15"/>
  <c r="G15"/>
  <c r="C15"/>
  <c r="K14"/>
  <c r="J14"/>
  <c r="J15" s="1"/>
  <c r="I14"/>
  <c r="I15" s="1"/>
  <c r="H14"/>
  <c r="H15" s="1"/>
  <c r="G14"/>
  <c r="F14"/>
  <c r="F15" s="1"/>
  <c r="E14"/>
  <c r="E15" s="1"/>
  <c r="D14"/>
  <c r="D15" s="1"/>
  <c r="C14"/>
  <c r="B14"/>
  <c r="B15" s="1"/>
  <c r="C1"/>
  <c r="D1" s="1"/>
  <c r="E1" s="1"/>
  <c r="F1" s="1"/>
  <c r="G1" s="1"/>
  <c r="H1" s="1"/>
  <c r="I1" s="1"/>
  <c r="J1" s="1"/>
  <c r="K1" s="1"/>
  <c r="M139" i="47"/>
  <c r="L139"/>
  <c r="K139"/>
  <c r="L138"/>
  <c r="M138" s="1"/>
  <c r="K138"/>
  <c r="L137"/>
  <c r="K137"/>
  <c r="M137" s="1"/>
  <c r="L136"/>
  <c r="K136"/>
  <c r="M136" s="1"/>
  <c r="M135"/>
  <c r="L135"/>
  <c r="K135"/>
  <c r="L134"/>
  <c r="M134" s="1"/>
  <c r="K134"/>
  <c r="L133"/>
  <c r="K133"/>
  <c r="M133" s="1"/>
  <c r="L132"/>
  <c r="K132"/>
  <c r="M132" s="1"/>
  <c r="M131"/>
  <c r="L131"/>
  <c r="K131"/>
  <c r="L130"/>
  <c r="M130" s="1"/>
  <c r="K130"/>
  <c r="L129"/>
  <c r="K129"/>
  <c r="M129" s="1"/>
  <c r="L128"/>
  <c r="K128"/>
  <c r="M128" s="1"/>
  <c r="M127"/>
  <c r="L127"/>
  <c r="K127"/>
  <c r="L126"/>
  <c r="M126" s="1"/>
  <c r="K126"/>
  <c r="L125"/>
  <c r="K125"/>
  <c r="M125" s="1"/>
  <c r="L124"/>
  <c r="K124"/>
  <c r="M124" s="1"/>
  <c r="M123"/>
  <c r="L123"/>
  <c r="K123"/>
  <c r="L122"/>
  <c r="M122" s="1"/>
  <c r="K122"/>
  <c r="L121"/>
  <c r="K121"/>
  <c r="M121" s="1"/>
  <c r="L120"/>
  <c r="K120"/>
  <c r="M120" s="1"/>
  <c r="M119"/>
  <c r="L119"/>
  <c r="K119"/>
  <c r="L118"/>
  <c r="M118" s="1"/>
  <c r="K118"/>
  <c r="L117"/>
  <c r="K117"/>
  <c r="M117" s="1"/>
  <c r="L116"/>
  <c r="K116"/>
  <c r="M116" s="1"/>
  <c r="M115"/>
  <c r="L115"/>
  <c r="K115"/>
  <c r="L114"/>
  <c r="M114" s="1"/>
  <c r="K114"/>
  <c r="L113"/>
  <c r="K113"/>
  <c r="M113" s="1"/>
  <c r="L112"/>
  <c r="K112"/>
  <c r="M112" s="1"/>
  <c r="M111"/>
  <c r="L111"/>
  <c r="K111"/>
  <c r="L110"/>
  <c r="M110" s="1"/>
  <c r="K110"/>
  <c r="L109"/>
  <c r="K109"/>
  <c r="M109" s="1"/>
  <c r="L108"/>
  <c r="K108"/>
  <c r="M108" s="1"/>
  <c r="M107"/>
  <c r="L107"/>
  <c r="K107"/>
  <c r="L106"/>
  <c r="M106" s="1"/>
  <c r="K106"/>
  <c r="L105"/>
  <c r="K105"/>
  <c r="M105" s="1"/>
  <c r="L104"/>
  <c r="K104"/>
  <c r="M104" s="1"/>
  <c r="M103"/>
  <c r="L103"/>
  <c r="K103"/>
  <c r="L102"/>
  <c r="M102" s="1"/>
  <c r="K102"/>
  <c r="L101"/>
  <c r="K101"/>
  <c r="M101" s="1"/>
  <c r="L100"/>
  <c r="K100"/>
  <c r="M100" s="1"/>
  <c r="M99"/>
  <c r="L99"/>
  <c r="K99"/>
  <c r="L98"/>
  <c r="M98" s="1"/>
  <c r="K98"/>
  <c r="L97"/>
  <c r="K97"/>
  <c r="M97" s="1"/>
  <c r="L96"/>
  <c r="K96"/>
  <c r="M96" s="1"/>
  <c r="M95"/>
  <c r="L95"/>
  <c r="K95"/>
  <c r="L94"/>
  <c r="M94" s="1"/>
  <c r="K94"/>
  <c r="L93"/>
  <c r="K93"/>
  <c r="M93" s="1"/>
  <c r="L92"/>
  <c r="K92"/>
  <c r="M92" s="1"/>
  <c r="M91"/>
  <c r="L91"/>
  <c r="K91"/>
  <c r="L90"/>
  <c r="M90" s="1"/>
  <c r="K90"/>
  <c r="L89"/>
  <c r="K89"/>
  <c r="M89" s="1"/>
  <c r="L88"/>
  <c r="K88"/>
  <c r="M88" s="1"/>
  <c r="M87"/>
  <c r="L87"/>
  <c r="K87"/>
  <c r="L86"/>
  <c r="M86" s="1"/>
  <c r="K86"/>
  <c r="L85"/>
  <c r="K85"/>
  <c r="M85" s="1"/>
  <c r="L84"/>
  <c r="K84"/>
  <c r="M84" s="1"/>
  <c r="M83"/>
  <c r="L83"/>
  <c r="K83"/>
  <c r="L82"/>
  <c r="M82" s="1"/>
  <c r="K82"/>
  <c r="L81"/>
  <c r="K81"/>
  <c r="M81" s="1"/>
  <c r="L80"/>
  <c r="K80"/>
  <c r="M80" s="1"/>
  <c r="M79"/>
  <c r="L79"/>
  <c r="K79"/>
  <c r="L78"/>
  <c r="M78" s="1"/>
  <c r="K78"/>
  <c r="L77"/>
  <c r="K77"/>
  <c r="M77" s="1"/>
  <c r="L76"/>
  <c r="K76"/>
  <c r="M76" s="1"/>
  <c r="M75"/>
  <c r="L75"/>
  <c r="K75"/>
  <c r="L74"/>
  <c r="M74" s="1"/>
  <c r="K74"/>
  <c r="L73"/>
  <c r="K73"/>
  <c r="M73" s="1"/>
  <c r="L72"/>
  <c r="K72"/>
  <c r="M72" s="1"/>
  <c r="M71"/>
  <c r="L71"/>
  <c r="K71"/>
  <c r="L70"/>
  <c r="M70" s="1"/>
  <c r="K70"/>
  <c r="L69"/>
  <c r="K69"/>
  <c r="M69" s="1"/>
  <c r="L68"/>
  <c r="K68"/>
  <c r="M68" s="1"/>
  <c r="M67"/>
  <c r="L67"/>
  <c r="K67"/>
  <c r="L66"/>
  <c r="M66" s="1"/>
  <c r="K66"/>
  <c r="L65"/>
  <c r="K65"/>
  <c r="M65" s="1"/>
  <c r="L64"/>
  <c r="K64"/>
  <c r="M64" s="1"/>
  <c r="M63"/>
  <c r="L63"/>
  <c r="K63"/>
  <c r="L62"/>
  <c r="M62" s="1"/>
  <c r="K62"/>
  <c r="L61"/>
  <c r="K61"/>
  <c r="M61" s="1"/>
  <c r="L60"/>
  <c r="K60"/>
  <c r="M60" s="1"/>
  <c r="M59"/>
  <c r="L59"/>
  <c r="K59"/>
  <c r="L58"/>
  <c r="M58" s="1"/>
  <c r="K58"/>
  <c r="L57"/>
  <c r="K57"/>
  <c r="M57" s="1"/>
  <c r="L56"/>
  <c r="K56"/>
  <c r="M56" s="1"/>
  <c r="M55"/>
  <c r="L55"/>
  <c r="K55"/>
  <c r="L54"/>
  <c r="K54"/>
  <c r="M54" s="1"/>
  <c r="L53"/>
  <c r="K53"/>
  <c r="M53" s="1"/>
  <c r="L52"/>
  <c r="K52"/>
  <c r="M52" s="1"/>
  <c r="M51"/>
  <c r="L51"/>
  <c r="K51"/>
  <c r="L50"/>
  <c r="K50"/>
  <c r="M50" s="1"/>
  <c r="L49"/>
  <c r="K49"/>
  <c r="M49" s="1"/>
  <c r="L48"/>
  <c r="K48"/>
  <c r="M48" s="1"/>
  <c r="M47"/>
  <c r="L47"/>
  <c r="K47"/>
  <c r="L46"/>
  <c r="K46"/>
  <c r="M46" s="1"/>
  <c r="L45"/>
  <c r="K45"/>
  <c r="M45" s="1"/>
  <c r="M44"/>
  <c r="L44"/>
  <c r="K44"/>
  <c r="M43"/>
  <c r="L43"/>
  <c r="K43"/>
  <c r="L42"/>
  <c r="K42"/>
  <c r="M42" s="1"/>
  <c r="L41"/>
  <c r="K41"/>
  <c r="M41" s="1"/>
  <c r="M40"/>
  <c r="L40"/>
  <c r="K40"/>
  <c r="M39"/>
  <c r="L39"/>
  <c r="K39"/>
  <c r="L38"/>
  <c r="K38"/>
  <c r="M38" s="1"/>
  <c r="L37"/>
  <c r="K37"/>
  <c r="M37" s="1"/>
  <c r="M36"/>
  <c r="L36"/>
  <c r="K36"/>
  <c r="M35"/>
  <c r="L35"/>
  <c r="K35"/>
  <c r="L34"/>
  <c r="K34"/>
  <c r="M34" s="1"/>
  <c r="L33"/>
  <c r="K33"/>
  <c r="M33" s="1"/>
  <c r="M32"/>
  <c r="L32"/>
  <c r="K32"/>
  <c r="M31"/>
  <c r="L31"/>
  <c r="K31"/>
  <c r="L30"/>
  <c r="K30"/>
  <c r="M30" s="1"/>
  <c r="L29"/>
  <c r="K29"/>
  <c r="M29" s="1"/>
  <c r="M28"/>
  <c r="L28"/>
  <c r="K28"/>
  <c r="M27"/>
  <c r="L27"/>
  <c r="K27"/>
  <c r="L26"/>
  <c r="K26"/>
  <c r="M26" s="1"/>
  <c r="L25"/>
  <c r="K25"/>
  <c r="M25" s="1"/>
  <c r="M24"/>
  <c r="L24"/>
  <c r="K24"/>
  <c r="M23"/>
  <c r="L23"/>
  <c r="K23"/>
  <c r="L22"/>
  <c r="K22"/>
  <c r="M22" s="1"/>
  <c r="L21"/>
  <c r="K21"/>
  <c r="M21" s="1"/>
  <c r="M20"/>
  <c r="L20"/>
  <c r="K20"/>
  <c r="M19"/>
  <c r="L19"/>
  <c r="K19"/>
  <c r="L18"/>
  <c r="K18"/>
  <c r="M18" s="1"/>
  <c r="L17"/>
  <c r="K17"/>
  <c r="M17" s="1"/>
  <c r="M16"/>
  <c r="L16"/>
  <c r="K16"/>
  <c r="M15"/>
  <c r="L15"/>
  <c r="K15"/>
  <c r="L14"/>
  <c r="K14"/>
  <c r="M14" s="1"/>
  <c r="L13"/>
  <c r="K13"/>
  <c r="M13" s="1"/>
  <c r="M12"/>
  <c r="L12"/>
  <c r="K12"/>
  <c r="M11"/>
  <c r="L11"/>
  <c r="K11"/>
  <c r="L10"/>
  <c r="K10"/>
  <c r="M10" s="1"/>
  <c r="D105" i="49" l="1"/>
  <c r="E102"/>
  <c r="E105" l="1"/>
  <c r="K123" i="45" l="1"/>
  <c r="J123"/>
  <c r="K122"/>
  <c r="J122"/>
  <c r="K121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L108"/>
  <c r="K108"/>
  <c r="J108"/>
  <c r="L107"/>
  <c r="K107"/>
  <c r="J107"/>
  <c r="K106"/>
  <c r="J106"/>
  <c r="K105"/>
  <c r="J105"/>
  <c r="K104"/>
  <c r="J104"/>
  <c r="K103"/>
  <c r="J103"/>
  <c r="L103" s="1"/>
  <c r="K102"/>
  <c r="J102"/>
  <c r="K101"/>
  <c r="J101"/>
  <c r="L101" s="1"/>
  <c r="K100"/>
  <c r="J100"/>
  <c r="K99"/>
  <c r="J99"/>
  <c r="L99" s="1"/>
  <c r="K98"/>
  <c r="J98"/>
  <c r="K97"/>
  <c r="J97"/>
  <c r="L97" s="1"/>
  <c r="K96"/>
  <c r="J96"/>
  <c r="K95"/>
  <c r="J95"/>
  <c r="K94"/>
  <c r="J94"/>
  <c r="K93"/>
  <c r="J93"/>
  <c r="L92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L83"/>
  <c r="K83"/>
  <c r="J83"/>
  <c r="K82"/>
  <c r="J82"/>
  <c r="L82" s="1"/>
  <c r="K81"/>
  <c r="J81"/>
  <c r="K80"/>
  <c r="J80"/>
  <c r="L80" s="1"/>
  <c r="K79"/>
  <c r="J79"/>
  <c r="K78"/>
  <c r="J78"/>
  <c r="L78" s="1"/>
  <c r="K77"/>
  <c r="J77"/>
  <c r="K76"/>
  <c r="J76"/>
  <c r="L76" s="1"/>
  <c r="K75"/>
  <c r="J75"/>
  <c r="K74"/>
  <c r="J74"/>
  <c r="K73"/>
  <c r="J73"/>
  <c r="K72"/>
  <c r="L72" s="1"/>
  <c r="J72"/>
  <c r="K71"/>
  <c r="J71"/>
  <c r="K70"/>
  <c r="J70"/>
  <c r="K69"/>
  <c r="J69"/>
  <c r="L68"/>
  <c r="K68"/>
  <c r="J68"/>
  <c r="K67"/>
  <c r="J67"/>
  <c r="L67" s="1"/>
  <c r="K66"/>
  <c r="J66"/>
  <c r="L66" s="1"/>
  <c r="K65"/>
  <c r="J65"/>
  <c r="L65" s="1"/>
  <c r="K64"/>
  <c r="J64"/>
  <c r="K63"/>
  <c r="J63"/>
  <c r="L63" s="1"/>
  <c r="K62"/>
  <c r="J62"/>
  <c r="K61"/>
  <c r="J61"/>
  <c r="L60"/>
  <c r="K60"/>
  <c r="J60"/>
  <c r="K59"/>
  <c r="J59"/>
  <c r="K58"/>
  <c r="J58"/>
  <c r="K57"/>
  <c r="L57" s="1"/>
  <c r="J57"/>
  <c r="K56"/>
  <c r="J56"/>
  <c r="K55"/>
  <c r="J55"/>
  <c r="K54"/>
  <c r="J54"/>
  <c r="K53"/>
  <c r="L53" s="1"/>
  <c r="J53"/>
  <c r="K52"/>
  <c r="L52" s="1"/>
  <c r="J52"/>
  <c r="K51"/>
  <c r="J51"/>
  <c r="K50"/>
  <c r="J50"/>
  <c r="K49"/>
  <c r="J49"/>
  <c r="L48"/>
  <c r="K48"/>
  <c r="J48"/>
  <c r="K47"/>
  <c r="J47"/>
  <c r="L47" s="1"/>
  <c r="K46"/>
  <c r="J46"/>
  <c r="K45"/>
  <c r="J45"/>
  <c r="K44"/>
  <c r="J44"/>
  <c r="K43"/>
  <c r="J43"/>
  <c r="K42"/>
  <c r="J42"/>
  <c r="K41"/>
  <c r="L41" s="1"/>
  <c r="J41"/>
  <c r="K40"/>
  <c r="J40"/>
  <c r="K39"/>
  <c r="J39"/>
  <c r="K38"/>
  <c r="J38"/>
  <c r="L38" s="1"/>
  <c r="K37"/>
  <c r="L37" s="1"/>
  <c r="J37"/>
  <c r="K36"/>
  <c r="J36"/>
  <c r="K35"/>
  <c r="J35"/>
  <c r="K34"/>
  <c r="J34"/>
  <c r="L34" s="1"/>
  <c r="K33"/>
  <c r="J33"/>
  <c r="L33" s="1"/>
  <c r="K32"/>
  <c r="J32"/>
  <c r="K31"/>
  <c r="J31"/>
  <c r="K30"/>
  <c r="J30"/>
  <c r="K29"/>
  <c r="J29"/>
  <c r="L29" s="1"/>
  <c r="K28"/>
  <c r="J28"/>
  <c r="K27"/>
  <c r="J27"/>
  <c r="L27" s="1"/>
  <c r="K26"/>
  <c r="J26"/>
  <c r="K25"/>
  <c r="J25"/>
  <c r="K24"/>
  <c r="J24"/>
  <c r="K23"/>
  <c r="J23"/>
  <c r="K22"/>
  <c r="J22"/>
  <c r="K21"/>
  <c r="J21"/>
  <c r="K20"/>
  <c r="J20"/>
  <c r="L20" s="1"/>
  <c r="L19"/>
  <c r="K19"/>
  <c r="J19"/>
  <c r="K18"/>
  <c r="J18"/>
  <c r="K17"/>
  <c r="J17"/>
  <c r="K16"/>
  <c r="J16"/>
  <c r="K15"/>
  <c r="J15"/>
  <c r="K14"/>
  <c r="J14"/>
  <c r="K4"/>
  <c r="K13"/>
  <c r="J13"/>
  <c r="K12"/>
  <c r="J12"/>
  <c r="K11"/>
  <c r="J11"/>
  <c r="K10"/>
  <c r="J10"/>
  <c r="K9"/>
  <c r="J9"/>
  <c r="K8"/>
  <c r="J8"/>
  <c r="K7"/>
  <c r="J7"/>
  <c r="K6"/>
  <c r="J6"/>
  <c r="K5"/>
  <c r="J5"/>
  <c r="J4"/>
  <c r="L4" s="1"/>
  <c r="L123" l="1"/>
  <c r="L120"/>
  <c r="L118"/>
  <c r="L116"/>
  <c r="L122"/>
  <c r="L121"/>
  <c r="L119"/>
  <c r="L117"/>
  <c r="L115"/>
  <c r="L114"/>
  <c r="L113"/>
  <c r="L112"/>
  <c r="L111"/>
  <c r="L110"/>
  <c r="L109"/>
  <c r="L106"/>
  <c r="L105"/>
  <c r="L104"/>
  <c r="L96"/>
  <c r="L94"/>
  <c r="L102"/>
  <c r="L100"/>
  <c r="L98"/>
  <c r="L95"/>
  <c r="L91"/>
  <c r="L87"/>
  <c r="L85"/>
  <c r="L93"/>
  <c r="L90"/>
  <c r="L89"/>
  <c r="L88"/>
  <c r="L86"/>
  <c r="L84"/>
  <c r="L81"/>
  <c r="L77"/>
  <c r="L75"/>
  <c r="L79"/>
  <c r="L74"/>
  <c r="L73"/>
  <c r="L71"/>
  <c r="L70"/>
  <c r="L69"/>
  <c r="L64"/>
  <c r="L62"/>
  <c r="L61"/>
  <c r="L59"/>
  <c r="L58"/>
  <c r="L56"/>
  <c r="L55"/>
  <c r="L54"/>
  <c r="L51"/>
  <c r="L50"/>
  <c r="L49"/>
  <c r="L46"/>
  <c r="L45"/>
  <c r="L44"/>
  <c r="L43"/>
  <c r="L42"/>
  <c r="L40"/>
  <c r="L39"/>
  <c r="L36"/>
  <c r="L35"/>
  <c r="L28"/>
  <c r="L26"/>
  <c r="L24"/>
  <c r="L32"/>
  <c r="L31"/>
  <c r="L30"/>
  <c r="L25"/>
  <c r="L23"/>
  <c r="L18"/>
  <c r="L16"/>
  <c r="L15"/>
  <c r="L14"/>
  <c r="L22"/>
  <c r="L21"/>
  <c r="L17"/>
  <c r="L12"/>
  <c r="L8"/>
  <c r="L13"/>
  <c r="L11"/>
  <c r="L10"/>
  <c r="L9"/>
  <c r="L7"/>
  <c r="L6"/>
  <c r="L5"/>
  <c r="J49" i="44"/>
  <c r="H78"/>
  <c r="G78"/>
  <c r="F78"/>
  <c r="E78"/>
  <c r="H75"/>
  <c r="G75"/>
  <c r="F75"/>
  <c r="E75"/>
  <c r="H72"/>
  <c r="G72"/>
  <c r="F72"/>
  <c r="E72"/>
  <c r="H69"/>
  <c r="G69"/>
  <c r="F69"/>
  <c r="E69"/>
  <c r="H66"/>
  <c r="G66"/>
  <c r="F66"/>
  <c r="E66"/>
  <c r="H63"/>
  <c r="G63"/>
  <c r="F63"/>
  <c r="E63"/>
  <c r="H60"/>
  <c r="G60"/>
  <c r="F60"/>
  <c r="E60"/>
  <c r="H57"/>
  <c r="G57"/>
  <c r="F57"/>
  <c r="E57"/>
  <c r="H54"/>
  <c r="G54"/>
  <c r="F54"/>
  <c r="E54"/>
  <c r="H51"/>
  <c r="G51"/>
  <c r="F51"/>
  <c r="E51"/>
  <c r="H42"/>
  <c r="G42"/>
  <c r="F42"/>
  <c r="E42"/>
  <c r="H39"/>
  <c r="G39"/>
  <c r="F39"/>
  <c r="E39"/>
  <c r="H36"/>
  <c r="G36"/>
  <c r="F36"/>
  <c r="E36"/>
  <c r="H33"/>
  <c r="G33"/>
  <c r="F33"/>
  <c r="E33"/>
  <c r="H30"/>
  <c r="G30"/>
  <c r="F30"/>
  <c r="E30"/>
  <c r="H27"/>
  <c r="G27"/>
  <c r="F27"/>
  <c r="E27"/>
  <c r="H24"/>
  <c r="G24"/>
  <c r="F24"/>
  <c r="E24"/>
  <c r="H21"/>
  <c r="G21"/>
  <c r="F21"/>
  <c r="E21"/>
  <c r="H18"/>
  <c r="G18"/>
  <c r="F18"/>
  <c r="E18"/>
  <c r="H15"/>
  <c r="BH22" i="43"/>
  <c r="J77" i="44"/>
  <c r="J76"/>
  <c r="J74"/>
  <c r="J73"/>
  <c r="J71"/>
  <c r="J70"/>
  <c r="J68"/>
  <c r="J67"/>
  <c r="J65"/>
  <c r="J64"/>
  <c r="J62"/>
  <c r="J61"/>
  <c r="J59"/>
  <c r="J58"/>
  <c r="J56"/>
  <c r="J55"/>
  <c r="J53"/>
  <c r="J52"/>
  <c r="J50"/>
  <c r="J41"/>
  <c r="J40"/>
  <c r="J38"/>
  <c r="J37"/>
  <c r="J35"/>
  <c r="J34"/>
  <c r="J32"/>
  <c r="J31"/>
  <c r="J29"/>
  <c r="J28"/>
  <c r="J26"/>
  <c r="J25"/>
  <c r="J23"/>
  <c r="J22"/>
  <c r="J20"/>
  <c r="J19"/>
  <c r="J17"/>
  <c r="J16"/>
  <c r="G15"/>
  <c r="F15"/>
  <c r="E15"/>
  <c r="J14"/>
  <c r="J13"/>
  <c r="BE62" i="43"/>
  <c r="BH63"/>
  <c r="BD62"/>
  <c r="BE61"/>
  <c r="BD61"/>
  <c r="BH60"/>
  <c r="BE59"/>
  <c r="BD59"/>
  <c r="BE58"/>
  <c r="BD58"/>
  <c r="BH57"/>
  <c r="BE56"/>
  <c r="BD56"/>
  <c r="BE55"/>
  <c r="BD55"/>
  <c r="BE53"/>
  <c r="BD53"/>
  <c r="BE52"/>
  <c r="BD52"/>
  <c r="BE50"/>
  <c r="BD50"/>
  <c r="BE49"/>
  <c r="BD49"/>
  <c r="BE47"/>
  <c r="BD47"/>
  <c r="BE46"/>
  <c r="BD46"/>
  <c r="BE44"/>
  <c r="BD44"/>
  <c r="BE43"/>
  <c r="BD43"/>
  <c r="BE41"/>
  <c r="BD41"/>
  <c r="BE40"/>
  <c r="BD40"/>
  <c r="BE38"/>
  <c r="BD38"/>
  <c r="BE37"/>
  <c r="BD37"/>
  <c r="BE35"/>
  <c r="BD35"/>
  <c r="BE34"/>
  <c r="BD34"/>
  <c r="BH32"/>
  <c r="BE31"/>
  <c r="BD31"/>
  <c r="BE30"/>
  <c r="BD30"/>
  <c r="BH29"/>
  <c r="BE28"/>
  <c r="BD28"/>
  <c r="BE27"/>
  <c r="BD27"/>
  <c r="BH26"/>
  <c r="BE25"/>
  <c r="BD25"/>
  <c r="BE24"/>
  <c r="BD24"/>
  <c r="BE22"/>
  <c r="BD22"/>
  <c r="BE21"/>
  <c r="BD21"/>
  <c r="BE19"/>
  <c r="BD19"/>
  <c r="BE18"/>
  <c r="BD18"/>
  <c r="BE16"/>
  <c r="BD16"/>
  <c r="BE15"/>
  <c r="BD15"/>
  <c r="BF15" s="1"/>
  <c r="BH15" s="1"/>
  <c r="BE13"/>
  <c r="BD13"/>
  <c r="BE12"/>
  <c r="BD12"/>
  <c r="BE10"/>
  <c r="BD10"/>
  <c r="BE9"/>
  <c r="BD9"/>
  <c r="BE7"/>
  <c r="BD7"/>
  <c r="BE6"/>
  <c r="BD6"/>
  <c r="BE4"/>
  <c r="BD4"/>
  <c r="BE3"/>
  <c r="BD3"/>
  <c r="BF3" s="1"/>
  <c r="BH3" s="1"/>
  <c r="AS63"/>
  <c r="AP62"/>
  <c r="AO62"/>
  <c r="AP61"/>
  <c r="AO61"/>
  <c r="AS60"/>
  <c r="AP59"/>
  <c r="AO59"/>
  <c r="AP58"/>
  <c r="AO58"/>
  <c r="AS57"/>
  <c r="AP56"/>
  <c r="AO56"/>
  <c r="AP55"/>
  <c r="AO55"/>
  <c r="AP53"/>
  <c r="AO53"/>
  <c r="AP52"/>
  <c r="AO52"/>
  <c r="AP50"/>
  <c r="AO50"/>
  <c r="AP49"/>
  <c r="AO49"/>
  <c r="AP47"/>
  <c r="AO47"/>
  <c r="AP46"/>
  <c r="AO46"/>
  <c r="AP44"/>
  <c r="AO44"/>
  <c r="AP43"/>
  <c r="AO43"/>
  <c r="AP41"/>
  <c r="AO41"/>
  <c r="AP40"/>
  <c r="AO40"/>
  <c r="AP38"/>
  <c r="AO38"/>
  <c r="AP37"/>
  <c r="AO37"/>
  <c r="AP35"/>
  <c r="AO35"/>
  <c r="AP34"/>
  <c r="AO34"/>
  <c r="AS32"/>
  <c r="AP31"/>
  <c r="AQ31" s="1"/>
  <c r="AS31" s="1"/>
  <c r="AO31"/>
  <c r="AP30"/>
  <c r="AO30"/>
  <c r="AS29"/>
  <c r="AP28"/>
  <c r="AO28"/>
  <c r="AP27"/>
  <c r="AO27"/>
  <c r="AS26"/>
  <c r="AP25"/>
  <c r="AO25"/>
  <c r="AP24"/>
  <c r="AO24"/>
  <c r="AP22"/>
  <c r="AO22"/>
  <c r="AP21"/>
  <c r="AO21"/>
  <c r="AP19"/>
  <c r="AO19"/>
  <c r="AP18"/>
  <c r="AO18"/>
  <c r="AP16"/>
  <c r="AO16"/>
  <c r="AP15"/>
  <c r="AO15"/>
  <c r="AP13"/>
  <c r="AO13"/>
  <c r="AP12"/>
  <c r="AO12"/>
  <c r="AP10"/>
  <c r="AO10"/>
  <c r="AP9"/>
  <c r="AO9"/>
  <c r="AP7"/>
  <c r="AO7"/>
  <c r="AP6"/>
  <c r="AO6"/>
  <c r="AP4"/>
  <c r="AO4"/>
  <c r="AP3"/>
  <c r="AO3"/>
  <c r="J51" i="44" l="1"/>
  <c r="J69"/>
  <c r="J42"/>
  <c r="J75"/>
  <c r="J57"/>
  <c r="J36"/>
  <c r="J30"/>
  <c r="J18"/>
  <c r="J78"/>
  <c r="J72"/>
  <c r="J66"/>
  <c r="J63"/>
  <c r="J60"/>
  <c r="J54"/>
  <c r="J39"/>
  <c r="J33"/>
  <c r="J27"/>
  <c r="J24"/>
  <c r="J21"/>
  <c r="J15"/>
  <c r="BF62" i="43"/>
  <c r="BH62" s="1"/>
  <c r="BF59"/>
  <c r="BH59" s="1"/>
  <c r="BF58"/>
  <c r="BH58" s="1"/>
  <c r="BF31"/>
  <c r="BH31" s="1"/>
  <c r="BF30"/>
  <c r="BH30" s="1"/>
  <c r="BF24"/>
  <c r="BH24" s="1"/>
  <c r="BF21"/>
  <c r="BH21" s="1"/>
  <c r="BF18"/>
  <c r="BH18" s="1"/>
  <c r="BF12"/>
  <c r="BH12" s="1"/>
  <c r="BF9"/>
  <c r="BH9" s="1"/>
  <c r="BF6"/>
  <c r="BH6" s="1"/>
  <c r="BF28"/>
  <c r="BH28" s="1"/>
  <c r="BF34"/>
  <c r="BH34" s="1"/>
  <c r="BF37"/>
  <c r="BH37" s="1"/>
  <c r="BF40"/>
  <c r="BH40" s="1"/>
  <c r="BF43"/>
  <c r="BH43" s="1"/>
  <c r="BF46"/>
  <c r="BH46" s="1"/>
  <c r="BF49"/>
  <c r="BH49" s="1"/>
  <c r="BF52"/>
  <c r="BH52" s="1"/>
  <c r="BF55"/>
  <c r="BH55" s="1"/>
  <c r="BF61"/>
  <c r="BH61" s="1"/>
  <c r="AQ6"/>
  <c r="AS6" s="1"/>
  <c r="AQ58"/>
  <c r="AS58" s="1"/>
  <c r="BF4"/>
  <c r="BH4" s="1"/>
  <c r="BF7"/>
  <c r="BH7" s="1"/>
  <c r="BF10"/>
  <c r="BH10" s="1"/>
  <c r="BF13"/>
  <c r="BH13" s="1"/>
  <c r="BF16"/>
  <c r="BH16" s="1"/>
  <c r="BF19"/>
  <c r="BH19" s="1"/>
  <c r="BF22"/>
  <c r="BF25"/>
  <c r="BH25" s="1"/>
  <c r="BF27"/>
  <c r="BH27" s="1"/>
  <c r="BF35"/>
  <c r="BH35" s="1"/>
  <c r="BF38"/>
  <c r="BH38" s="1"/>
  <c r="BF41"/>
  <c r="BH41" s="1"/>
  <c r="BF44"/>
  <c r="BH44" s="1"/>
  <c r="BF47"/>
  <c r="BH47" s="1"/>
  <c r="BF50"/>
  <c r="BH50" s="1"/>
  <c r="BF53"/>
  <c r="BH53" s="1"/>
  <c r="BF56"/>
  <c r="BH56" s="1"/>
  <c r="AQ62"/>
  <c r="AS62" s="1"/>
  <c r="AQ59"/>
  <c r="AS59" s="1"/>
  <c r="AQ56"/>
  <c r="AS56" s="1"/>
  <c r="AQ53"/>
  <c r="AS53" s="1"/>
  <c r="AQ50"/>
  <c r="AS50" s="1"/>
  <c r="AQ47"/>
  <c r="AS47" s="1"/>
  <c r="AQ44"/>
  <c r="AS44" s="1"/>
  <c r="AQ41"/>
  <c r="AS41" s="1"/>
  <c r="AQ38"/>
  <c r="AS38" s="1"/>
  <c r="AQ35"/>
  <c r="AS35" s="1"/>
  <c r="AT63" s="1"/>
  <c r="AQ61"/>
  <c r="AS61" s="1"/>
  <c r="AQ55"/>
  <c r="AS55" s="1"/>
  <c r="AQ52"/>
  <c r="AS52" s="1"/>
  <c r="AQ49"/>
  <c r="AS49" s="1"/>
  <c r="AQ46"/>
  <c r="AS46" s="1"/>
  <c r="AQ43"/>
  <c r="AS43" s="1"/>
  <c r="AQ40"/>
  <c r="AS40" s="1"/>
  <c r="AQ37"/>
  <c r="AS37" s="1"/>
  <c r="AQ34"/>
  <c r="AS34" s="1"/>
  <c r="AQ28"/>
  <c r="AS28" s="1"/>
  <c r="AQ25"/>
  <c r="AS25" s="1"/>
  <c r="AQ22"/>
  <c r="AS22" s="1"/>
  <c r="AQ19"/>
  <c r="AS19" s="1"/>
  <c r="AQ16"/>
  <c r="AS16" s="1"/>
  <c r="AQ13"/>
  <c r="AS13" s="1"/>
  <c r="AQ10"/>
  <c r="AS10" s="1"/>
  <c r="AQ7"/>
  <c r="AS7" s="1"/>
  <c r="AQ4"/>
  <c r="AS4" s="1"/>
  <c r="AQ30"/>
  <c r="AS30" s="1"/>
  <c r="AU63" s="1"/>
  <c r="AQ27"/>
  <c r="AS27" s="1"/>
  <c r="AQ24"/>
  <c r="AS24" s="1"/>
  <c r="AQ21"/>
  <c r="AS21" s="1"/>
  <c r="AQ18"/>
  <c r="AS18" s="1"/>
  <c r="AQ15"/>
  <c r="AS15" s="1"/>
  <c r="AQ12"/>
  <c r="AS12" s="1"/>
  <c r="AQ9"/>
  <c r="AS9" s="1"/>
  <c r="AQ3"/>
  <c r="AS3" s="1"/>
  <c r="AD63"/>
  <c r="AA62"/>
  <c r="Z62"/>
  <c r="AA61"/>
  <c r="Z61"/>
  <c r="AD60"/>
  <c r="AA59"/>
  <c r="Z59"/>
  <c r="AA58"/>
  <c r="Z58"/>
  <c r="AD57"/>
  <c r="AA56"/>
  <c r="Z56"/>
  <c r="AA55"/>
  <c r="Z55"/>
  <c r="AA53"/>
  <c r="Z53"/>
  <c r="AA52"/>
  <c r="Z52"/>
  <c r="AA50"/>
  <c r="Z50"/>
  <c r="AA49"/>
  <c r="Z49"/>
  <c r="AA47"/>
  <c r="Z47"/>
  <c r="AA46"/>
  <c r="Z46"/>
  <c r="AA44"/>
  <c r="Z44"/>
  <c r="AA43"/>
  <c r="Z43"/>
  <c r="AA41"/>
  <c r="Z41"/>
  <c r="AA40"/>
  <c r="Z40"/>
  <c r="AA38"/>
  <c r="Z38"/>
  <c r="AA37"/>
  <c r="Z37"/>
  <c r="AA35"/>
  <c r="Z35"/>
  <c r="AA34"/>
  <c r="Z34"/>
  <c r="AD32"/>
  <c r="AB31"/>
  <c r="AD31" s="1"/>
  <c r="AA31"/>
  <c r="Z31"/>
  <c r="AA30"/>
  <c r="Z30"/>
  <c r="AB30" s="1"/>
  <c r="AD30" s="1"/>
  <c r="AD29"/>
  <c r="AA28"/>
  <c r="Z28"/>
  <c r="AA27"/>
  <c r="Z27"/>
  <c r="AD26"/>
  <c r="AA25"/>
  <c r="Z25"/>
  <c r="AA24"/>
  <c r="Z24"/>
  <c r="AA22"/>
  <c r="Z22"/>
  <c r="AA21"/>
  <c r="Z21"/>
  <c r="AA19"/>
  <c r="Z19"/>
  <c r="AA18"/>
  <c r="Z18"/>
  <c r="AA16"/>
  <c r="Z16"/>
  <c r="AA15"/>
  <c r="Z15"/>
  <c r="AA13"/>
  <c r="Z13"/>
  <c r="AA12"/>
  <c r="Z12"/>
  <c r="AA10"/>
  <c r="Z10"/>
  <c r="AA9"/>
  <c r="Z9"/>
  <c r="AA7"/>
  <c r="Z7"/>
  <c r="AA6"/>
  <c r="Z6"/>
  <c r="AA4"/>
  <c r="Z4"/>
  <c r="AA3"/>
  <c r="Z3"/>
  <c r="P63"/>
  <c r="O63"/>
  <c r="L62"/>
  <c r="K62"/>
  <c r="L61"/>
  <c r="K61"/>
  <c r="M61" s="1"/>
  <c r="P60"/>
  <c r="O60"/>
  <c r="L59"/>
  <c r="K59"/>
  <c r="L58"/>
  <c r="K58"/>
  <c r="P57"/>
  <c r="O57"/>
  <c r="L56"/>
  <c r="K56"/>
  <c r="L55"/>
  <c r="K55"/>
  <c r="P54"/>
  <c r="L53"/>
  <c r="K53"/>
  <c r="L52"/>
  <c r="K52"/>
  <c r="P51"/>
  <c r="L50"/>
  <c r="K50"/>
  <c r="M50" s="1"/>
  <c r="O50" s="1"/>
  <c r="L49"/>
  <c r="K49"/>
  <c r="P48"/>
  <c r="L47"/>
  <c r="K47"/>
  <c r="L46"/>
  <c r="K46"/>
  <c r="M46" s="1"/>
  <c r="O46" s="1"/>
  <c r="P45"/>
  <c r="L44"/>
  <c r="K44"/>
  <c r="L43"/>
  <c r="K43"/>
  <c r="P42"/>
  <c r="L41"/>
  <c r="K41"/>
  <c r="M41" s="1"/>
  <c r="L40"/>
  <c r="K40"/>
  <c r="P39"/>
  <c r="L38"/>
  <c r="K38"/>
  <c r="L37"/>
  <c r="K37"/>
  <c r="P36"/>
  <c r="L35"/>
  <c r="K35"/>
  <c r="L34"/>
  <c r="K34"/>
  <c r="M34" s="1"/>
  <c r="O34" s="1"/>
  <c r="K31"/>
  <c r="M31" s="1"/>
  <c r="L31"/>
  <c r="K28"/>
  <c r="M28" s="1"/>
  <c r="L28"/>
  <c r="K25"/>
  <c r="M25" s="1"/>
  <c r="L25"/>
  <c r="K22"/>
  <c r="M22" s="1"/>
  <c r="L22"/>
  <c r="K19"/>
  <c r="L19"/>
  <c r="K16"/>
  <c r="M16" s="1"/>
  <c r="L16"/>
  <c r="K13"/>
  <c r="L13"/>
  <c r="K10"/>
  <c r="M10" s="1"/>
  <c r="O10" s="1"/>
  <c r="L10"/>
  <c r="K7"/>
  <c r="L7"/>
  <c r="K4"/>
  <c r="L4"/>
  <c r="BO73"/>
  <c r="BO66"/>
  <c r="BO63"/>
  <c r="BN63"/>
  <c r="BM63"/>
  <c r="BO62"/>
  <c r="BN62"/>
  <c r="BM62"/>
  <c r="BO61"/>
  <c r="BN61"/>
  <c r="BM61"/>
  <c r="BO60"/>
  <c r="BN60"/>
  <c r="BM60"/>
  <c r="BO59"/>
  <c r="BN59"/>
  <c r="BM59"/>
  <c r="BO58"/>
  <c r="BN58"/>
  <c r="BM58"/>
  <c r="BO57"/>
  <c r="BN57"/>
  <c r="BM57"/>
  <c r="BO56"/>
  <c r="BN56"/>
  <c r="BM56"/>
  <c r="BO55"/>
  <c r="BN55"/>
  <c r="BM55"/>
  <c r="BO54"/>
  <c r="BN54"/>
  <c r="BM54"/>
  <c r="BO53"/>
  <c r="BO74" s="1"/>
  <c r="BN53"/>
  <c r="BM53"/>
  <c r="BO52"/>
  <c r="BN52"/>
  <c r="BM52"/>
  <c r="BO51"/>
  <c r="BN51"/>
  <c r="BM51"/>
  <c r="BO50"/>
  <c r="BO68" s="1"/>
  <c r="BN50"/>
  <c r="BM50"/>
  <c r="BO49"/>
  <c r="BN49"/>
  <c r="BM49"/>
  <c r="BO48"/>
  <c r="BN48"/>
  <c r="BM48"/>
  <c r="BO47"/>
  <c r="BN47"/>
  <c r="BM47"/>
  <c r="BO46"/>
  <c r="BN46"/>
  <c r="BM46"/>
  <c r="BO45"/>
  <c r="BN45"/>
  <c r="BM45"/>
  <c r="BO44"/>
  <c r="BN44"/>
  <c r="BM44"/>
  <c r="BO43"/>
  <c r="BN43"/>
  <c r="BM43"/>
  <c r="BO42"/>
  <c r="BN42"/>
  <c r="BM42"/>
  <c r="BO41"/>
  <c r="BN41"/>
  <c r="BM41"/>
  <c r="BO40"/>
  <c r="BN40"/>
  <c r="BM40"/>
  <c r="BO39"/>
  <c r="BN39"/>
  <c r="BM39"/>
  <c r="BO38"/>
  <c r="BN38"/>
  <c r="BM38"/>
  <c r="BO37"/>
  <c r="BN37"/>
  <c r="BM37"/>
  <c r="BO36"/>
  <c r="BN36"/>
  <c r="BM36"/>
  <c r="BO35"/>
  <c r="BN35"/>
  <c r="BM35"/>
  <c r="BO34"/>
  <c r="BN34"/>
  <c r="BM34"/>
  <c r="BO32"/>
  <c r="BN32"/>
  <c r="BM32"/>
  <c r="O32"/>
  <c r="BO31"/>
  <c r="BO69" s="1"/>
  <c r="BN31"/>
  <c r="BM31"/>
  <c r="BO30"/>
  <c r="BN30"/>
  <c r="BM30"/>
  <c r="L30"/>
  <c r="K30"/>
  <c r="BO29"/>
  <c r="BN29"/>
  <c r="BM29"/>
  <c r="BO28"/>
  <c r="BN28"/>
  <c r="BM28"/>
  <c r="BO27"/>
  <c r="BN27"/>
  <c r="BM27"/>
  <c r="L27"/>
  <c r="K27"/>
  <c r="BO26"/>
  <c r="BN26"/>
  <c r="BM26"/>
  <c r="O26"/>
  <c r="BO25"/>
  <c r="BN25"/>
  <c r="BM25"/>
  <c r="BO24"/>
  <c r="BN24"/>
  <c r="BM24"/>
  <c r="L24"/>
  <c r="K24"/>
  <c r="BO23"/>
  <c r="BN23"/>
  <c r="BM23"/>
  <c r="BO22"/>
  <c r="BN22"/>
  <c r="BM22"/>
  <c r="BO21"/>
  <c r="BN21"/>
  <c r="BM21"/>
  <c r="L21"/>
  <c r="K21"/>
  <c r="BO20"/>
  <c r="BN20"/>
  <c r="BM20"/>
  <c r="P20"/>
  <c r="BO19"/>
  <c r="BN19"/>
  <c r="BM19"/>
  <c r="BO18"/>
  <c r="BN18"/>
  <c r="BM18"/>
  <c r="L18"/>
  <c r="K18"/>
  <c r="BO17"/>
  <c r="BN17"/>
  <c r="BM17"/>
  <c r="P17"/>
  <c r="BO16"/>
  <c r="BN16"/>
  <c r="BM16"/>
  <c r="BO15"/>
  <c r="BN15"/>
  <c r="BM15"/>
  <c r="M15"/>
  <c r="O15" s="1"/>
  <c r="L15"/>
  <c r="K15"/>
  <c r="BO14"/>
  <c r="BN14"/>
  <c r="BM14"/>
  <c r="BO13"/>
  <c r="BN13"/>
  <c r="BM13"/>
  <c r="BO12"/>
  <c r="BN12"/>
  <c r="BM12"/>
  <c r="L12"/>
  <c r="K12"/>
  <c r="BO11"/>
  <c r="BN11"/>
  <c r="BM11"/>
  <c r="BO10"/>
  <c r="BN10"/>
  <c r="BM10"/>
  <c r="A10"/>
  <c r="A11" s="1"/>
  <c r="A40" s="1"/>
  <c r="A41" s="1"/>
  <c r="A42" s="1"/>
  <c r="A12" s="1"/>
  <c r="A13" s="1"/>
  <c r="A14" s="1"/>
  <c r="A43" s="1"/>
  <c r="A44" s="1"/>
  <c r="A45" s="1"/>
  <c r="A15" s="1"/>
  <c r="A16" s="1"/>
  <c r="A17" s="1"/>
  <c r="A46" s="1"/>
  <c r="A47" s="1"/>
  <c r="A48" s="1"/>
  <c r="A18" s="1"/>
  <c r="A19" s="1"/>
  <c r="A20" s="1"/>
  <c r="A49" s="1"/>
  <c r="A50" s="1"/>
  <c r="A51" s="1"/>
  <c r="A21" s="1"/>
  <c r="A22" s="1"/>
  <c r="A23" s="1"/>
  <c r="A52" s="1"/>
  <c r="A53" s="1"/>
  <c r="A54" s="1"/>
  <c r="A24" s="1"/>
  <c r="A25" s="1"/>
  <c r="A26" s="1"/>
  <c r="A55" s="1"/>
  <c r="A56" s="1"/>
  <c r="A57" s="1"/>
  <c r="A27" s="1"/>
  <c r="A28" s="1"/>
  <c r="A29" s="1"/>
  <c r="A58" s="1"/>
  <c r="A59" s="1"/>
  <c r="A60" s="1"/>
  <c r="A30" s="1"/>
  <c r="A31" s="1"/>
  <c r="A32" s="1"/>
  <c r="A61" s="1"/>
  <c r="A62" s="1"/>
  <c r="A63" s="1"/>
  <c r="BO9"/>
  <c r="BN9"/>
  <c r="BM9"/>
  <c r="L9"/>
  <c r="K9"/>
  <c r="BO8"/>
  <c r="BN8"/>
  <c r="BM8"/>
  <c r="BO7"/>
  <c r="BN7"/>
  <c r="BM7"/>
  <c r="BO6"/>
  <c r="BN6"/>
  <c r="BM6"/>
  <c r="L6"/>
  <c r="M6" s="1"/>
  <c r="K6"/>
  <c r="BO5"/>
  <c r="BN5"/>
  <c r="BM5"/>
  <c r="BO4"/>
  <c r="BN4"/>
  <c r="BM4"/>
  <c r="BO3"/>
  <c r="BN3"/>
  <c r="BM3"/>
  <c r="L3"/>
  <c r="K3"/>
  <c r="J56" i="42"/>
  <c r="L56" s="1"/>
  <c r="I56"/>
  <c r="K56" s="1"/>
  <c r="J55"/>
  <c r="L55" s="1"/>
  <c r="I55"/>
  <c r="K55" s="1"/>
  <c r="K54"/>
  <c r="J54"/>
  <c r="L54" s="1"/>
  <c r="M54" s="1"/>
  <c r="I54"/>
  <c r="K53"/>
  <c r="J53"/>
  <c r="L53" s="1"/>
  <c r="I53"/>
  <c r="K52"/>
  <c r="J52"/>
  <c r="L52" s="1"/>
  <c r="I52"/>
  <c r="L51"/>
  <c r="M51" s="1"/>
  <c r="K51"/>
  <c r="J51"/>
  <c r="I51"/>
  <c r="L50"/>
  <c r="K50"/>
  <c r="J50"/>
  <c r="I50"/>
  <c r="L49"/>
  <c r="K49"/>
  <c r="J49"/>
  <c r="I49"/>
  <c r="M48"/>
  <c r="L48"/>
  <c r="J48"/>
  <c r="I48"/>
  <c r="K48" s="1"/>
  <c r="L47"/>
  <c r="J47"/>
  <c r="I47"/>
  <c r="K47" s="1"/>
  <c r="L46"/>
  <c r="J46"/>
  <c r="I46"/>
  <c r="K46" s="1"/>
  <c r="J45"/>
  <c r="L45" s="1"/>
  <c r="M45" s="1"/>
  <c r="I45"/>
  <c r="K45" s="1"/>
  <c r="J44"/>
  <c r="L44" s="1"/>
  <c r="I44"/>
  <c r="K44" s="1"/>
  <c r="J43"/>
  <c r="L43" s="1"/>
  <c r="I43"/>
  <c r="K43" s="1"/>
  <c r="K42"/>
  <c r="J42"/>
  <c r="L42" s="1"/>
  <c r="I42"/>
  <c r="K41"/>
  <c r="J41"/>
  <c r="L41" s="1"/>
  <c r="I41"/>
  <c r="K40"/>
  <c r="J40"/>
  <c r="L40" s="1"/>
  <c r="I40"/>
  <c r="L39"/>
  <c r="K39"/>
  <c r="J39"/>
  <c r="I39"/>
  <c r="L38"/>
  <c r="K38"/>
  <c r="J38"/>
  <c r="I38"/>
  <c r="L37"/>
  <c r="K37"/>
  <c r="J37"/>
  <c r="I37"/>
  <c r="M36"/>
  <c r="L36"/>
  <c r="J36"/>
  <c r="I36"/>
  <c r="K36" s="1"/>
  <c r="L35"/>
  <c r="J35"/>
  <c r="I35"/>
  <c r="K35" s="1"/>
  <c r="L34"/>
  <c r="J34"/>
  <c r="I34"/>
  <c r="K34" s="1"/>
  <c r="J33"/>
  <c r="L33" s="1"/>
  <c r="M33" s="1"/>
  <c r="I33"/>
  <c r="K33" s="1"/>
  <c r="J32"/>
  <c r="L32" s="1"/>
  <c r="I32"/>
  <c r="K32" s="1"/>
  <c r="J31"/>
  <c r="L31" s="1"/>
  <c r="I31"/>
  <c r="K31" s="1"/>
  <c r="J30"/>
  <c r="L30" s="1"/>
  <c r="I30"/>
  <c r="K29"/>
  <c r="J29"/>
  <c r="L29" s="1"/>
  <c r="I29"/>
  <c r="K28"/>
  <c r="J28"/>
  <c r="L28" s="1"/>
  <c r="I28"/>
  <c r="L27"/>
  <c r="K27"/>
  <c r="J27"/>
  <c r="I27"/>
  <c r="L26"/>
  <c r="K26"/>
  <c r="J26"/>
  <c r="I26"/>
  <c r="L25"/>
  <c r="K25"/>
  <c r="J25"/>
  <c r="I25"/>
  <c r="M24"/>
  <c r="L24"/>
  <c r="J24"/>
  <c r="I24"/>
  <c r="K24" s="1"/>
  <c r="L23"/>
  <c r="J23"/>
  <c r="I23"/>
  <c r="K23" s="1"/>
  <c r="L22"/>
  <c r="J22"/>
  <c r="I22"/>
  <c r="K22" s="1"/>
  <c r="J21"/>
  <c r="L21" s="1"/>
  <c r="M21" s="1"/>
  <c r="I21"/>
  <c r="K21" s="1"/>
  <c r="J20"/>
  <c r="L20" s="1"/>
  <c r="I20"/>
  <c r="K20" s="1"/>
  <c r="J19"/>
  <c r="L19" s="1"/>
  <c r="I19"/>
  <c r="K19" s="1"/>
  <c r="K18"/>
  <c r="J18"/>
  <c r="L18" s="1"/>
  <c r="I18"/>
  <c r="K17"/>
  <c r="J17"/>
  <c r="L17" s="1"/>
  <c r="I17"/>
  <c r="K16"/>
  <c r="J16"/>
  <c r="L16" s="1"/>
  <c r="I16"/>
  <c r="L15"/>
  <c r="M15" s="1"/>
  <c r="K15"/>
  <c r="J15"/>
  <c r="I15"/>
  <c r="L14"/>
  <c r="K14"/>
  <c r="J14"/>
  <c r="I14"/>
  <c r="L13"/>
  <c r="K13"/>
  <c r="J13"/>
  <c r="I13"/>
  <c r="J12"/>
  <c r="L12" s="1"/>
  <c r="M12" s="1"/>
  <c r="I12"/>
  <c r="K12" s="1"/>
  <c r="L12" i="11"/>
  <c r="Q27" i="41"/>
  <c r="P27"/>
  <c r="O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K3"/>
  <c r="J3"/>
  <c r="I3"/>
  <c r="K28" i="40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K17"/>
  <c r="J17"/>
  <c r="I17"/>
  <c r="K16"/>
  <c r="J16"/>
  <c r="I16"/>
  <c r="K15"/>
  <c r="J15"/>
  <c r="I15"/>
  <c r="K14"/>
  <c r="J14"/>
  <c r="I14"/>
  <c r="K13"/>
  <c r="J13"/>
  <c r="I13"/>
  <c r="K12"/>
  <c r="J12"/>
  <c r="I12"/>
  <c r="K11"/>
  <c r="J11"/>
  <c r="I11"/>
  <c r="K10"/>
  <c r="J10"/>
  <c r="I10"/>
  <c r="K9"/>
  <c r="J9"/>
  <c r="I9"/>
  <c r="K8"/>
  <c r="J8"/>
  <c r="I8"/>
  <c r="K7"/>
  <c r="J7"/>
  <c r="I7"/>
  <c r="K6"/>
  <c r="J6"/>
  <c r="I6"/>
  <c r="K5"/>
  <c r="J5"/>
  <c r="I5"/>
  <c r="K4"/>
  <c r="J4"/>
  <c r="I4"/>
  <c r="K3"/>
  <c r="K27" s="1"/>
  <c r="J3"/>
  <c r="J28" s="1"/>
  <c r="I3"/>
  <c r="I28" s="1"/>
  <c r="K78" i="44" l="1"/>
  <c r="K69"/>
  <c r="K72"/>
  <c r="K57"/>
  <c r="K66"/>
  <c r="K51"/>
  <c r="K54"/>
  <c r="K75"/>
  <c r="K60"/>
  <c r="K63"/>
  <c r="AT61" i="43"/>
  <c r="AU32"/>
  <c r="AU61"/>
  <c r="AT31"/>
  <c r="AT30"/>
  <c r="AU31"/>
  <c r="AU30"/>
  <c r="AT32"/>
  <c r="AT62"/>
  <c r="AU62"/>
  <c r="BO70"/>
  <c r="M9"/>
  <c r="BO65"/>
  <c r="BO71"/>
  <c r="M24"/>
  <c r="M4"/>
  <c r="O4" s="1"/>
  <c r="M35"/>
  <c r="O35" s="1"/>
  <c r="M3"/>
  <c r="O3" s="1"/>
  <c r="M7"/>
  <c r="M13"/>
  <c r="M19"/>
  <c r="P19" s="1"/>
  <c r="M37"/>
  <c r="P37" s="1"/>
  <c r="M53"/>
  <c r="AB61"/>
  <c r="AD61" s="1"/>
  <c r="AB62"/>
  <c r="AD62" s="1"/>
  <c r="AB59"/>
  <c r="AD59" s="1"/>
  <c r="AB56"/>
  <c r="AD56" s="1"/>
  <c r="AB53"/>
  <c r="AD53" s="1"/>
  <c r="AB50"/>
  <c r="AD50" s="1"/>
  <c r="AB47"/>
  <c r="AD47" s="1"/>
  <c r="AB44"/>
  <c r="AD44" s="1"/>
  <c r="AB41"/>
  <c r="AD41" s="1"/>
  <c r="AB38"/>
  <c r="AD38" s="1"/>
  <c r="AB35"/>
  <c r="AD35" s="1"/>
  <c r="AB58"/>
  <c r="AD58" s="1"/>
  <c r="AB55"/>
  <c r="AD55" s="1"/>
  <c r="AB52"/>
  <c r="AD52" s="1"/>
  <c r="AB49"/>
  <c r="AD49" s="1"/>
  <c r="AB46"/>
  <c r="AD46" s="1"/>
  <c r="AB43"/>
  <c r="AD43" s="1"/>
  <c r="AB40"/>
  <c r="AD40" s="1"/>
  <c r="AB37"/>
  <c r="AD37" s="1"/>
  <c r="AB34"/>
  <c r="AD34" s="1"/>
  <c r="AB28"/>
  <c r="AD28" s="1"/>
  <c r="AB25"/>
  <c r="AD25" s="1"/>
  <c r="AB22"/>
  <c r="AD22" s="1"/>
  <c r="AB19"/>
  <c r="AD19" s="1"/>
  <c r="AB16"/>
  <c r="AD16" s="1"/>
  <c r="AB13"/>
  <c r="AD13" s="1"/>
  <c r="AB10"/>
  <c r="AD10" s="1"/>
  <c r="AB7"/>
  <c r="AD7" s="1"/>
  <c r="AB4"/>
  <c r="AD4" s="1"/>
  <c r="AB27"/>
  <c r="AD27" s="1"/>
  <c r="AB24"/>
  <c r="AD24" s="1"/>
  <c r="AB21"/>
  <c r="AD21" s="1"/>
  <c r="AB18"/>
  <c r="AD18" s="1"/>
  <c r="AB15"/>
  <c r="AD15" s="1"/>
  <c r="AB12"/>
  <c r="AD12" s="1"/>
  <c r="AB9"/>
  <c r="AD9" s="1"/>
  <c r="AB6"/>
  <c r="AD6" s="1"/>
  <c r="AB3"/>
  <c r="AD3" s="1"/>
  <c r="M62"/>
  <c r="P62" s="1"/>
  <c r="M59"/>
  <c r="M56"/>
  <c r="P53"/>
  <c r="O53"/>
  <c r="M47"/>
  <c r="P47" s="1"/>
  <c r="M44"/>
  <c r="P41"/>
  <c r="O41"/>
  <c r="M38"/>
  <c r="O38" s="1"/>
  <c r="M58"/>
  <c r="O58" s="1"/>
  <c r="M55"/>
  <c r="P55" s="1"/>
  <c r="M52"/>
  <c r="O52" s="1"/>
  <c r="M49"/>
  <c r="P49" s="1"/>
  <c r="O49"/>
  <c r="M43"/>
  <c r="P43" s="1"/>
  <c r="M40"/>
  <c r="P40" s="1"/>
  <c r="O37"/>
  <c r="P52"/>
  <c r="P61"/>
  <c r="O61"/>
  <c r="P44"/>
  <c r="O44"/>
  <c r="O59"/>
  <c r="P59"/>
  <c r="O43"/>
  <c r="O47"/>
  <c r="P56"/>
  <c r="O56"/>
  <c r="P58"/>
  <c r="P34"/>
  <c r="P46"/>
  <c r="P50"/>
  <c r="P28"/>
  <c r="O28"/>
  <c r="P25"/>
  <c r="O25"/>
  <c r="M30"/>
  <c r="P30" s="1"/>
  <c r="M27"/>
  <c r="O27" s="1"/>
  <c r="M21"/>
  <c r="O21" s="1"/>
  <c r="M18"/>
  <c r="O18" s="1"/>
  <c r="M12"/>
  <c r="P12" s="1"/>
  <c r="P31"/>
  <c r="O31"/>
  <c r="O7"/>
  <c r="P7"/>
  <c r="O9"/>
  <c r="P9"/>
  <c r="P21"/>
  <c r="P6"/>
  <c r="O6"/>
  <c r="O16"/>
  <c r="P16"/>
  <c r="O22"/>
  <c r="P22"/>
  <c r="P11"/>
  <c r="P14"/>
  <c r="O24"/>
  <c r="P24"/>
  <c r="O13"/>
  <c r="P13"/>
  <c r="O29"/>
  <c r="P29"/>
  <c r="BI32"/>
  <c r="BI62"/>
  <c r="BO67"/>
  <c r="BI31"/>
  <c r="BI63"/>
  <c r="P5"/>
  <c r="P15"/>
  <c r="P23"/>
  <c r="P32"/>
  <c r="P3"/>
  <c r="P10"/>
  <c r="BO72"/>
  <c r="P26"/>
  <c r="BI30"/>
  <c r="BI61"/>
  <c r="K30" i="42"/>
  <c r="M18"/>
  <c r="M39"/>
  <c r="M42"/>
  <c r="M27"/>
  <c r="M30"/>
  <c r="K27" i="41"/>
  <c r="J28"/>
  <c r="J27"/>
  <c r="I28"/>
  <c r="I27"/>
  <c r="K28"/>
  <c r="J27" i="40"/>
  <c r="I27"/>
  <c r="O12" i="43" l="1"/>
  <c r="P35"/>
  <c r="O30"/>
  <c r="Q32" s="1"/>
  <c r="O19"/>
  <c r="O55"/>
  <c r="AE63"/>
  <c r="AF30"/>
  <c r="O62"/>
  <c r="P38"/>
  <c r="O40"/>
  <c r="P27"/>
  <c r="P18"/>
  <c r="P8"/>
  <c r="P4"/>
  <c r="AE61"/>
  <c r="AF63"/>
  <c r="AE31"/>
  <c r="AF62"/>
  <c r="AE62"/>
  <c r="Q31"/>
  <c r="Q30"/>
  <c r="AE32"/>
  <c r="AF31"/>
  <c r="AE30"/>
  <c r="AF32"/>
  <c r="AF61"/>
  <c r="U204" i="39"/>
  <c r="U202"/>
  <c r="U200"/>
  <c r="U198"/>
  <c r="U196"/>
  <c r="U194"/>
  <c r="U192"/>
  <c r="U190"/>
  <c r="U188"/>
  <c r="U186"/>
  <c r="U184"/>
  <c r="U182"/>
  <c r="U180"/>
  <c r="U178"/>
  <c r="U176"/>
  <c r="U174"/>
  <c r="U172"/>
  <c r="U170"/>
  <c r="U168"/>
  <c r="U166"/>
  <c r="U164"/>
  <c r="U162"/>
  <c r="U160"/>
  <c r="U158"/>
  <c r="U156"/>
  <c r="U154"/>
  <c r="U152"/>
  <c r="U150"/>
  <c r="U148"/>
  <c r="U146"/>
  <c r="U144"/>
  <c r="U142"/>
  <c r="U140"/>
  <c r="U138"/>
  <c r="U136"/>
  <c r="U134"/>
  <c r="U132"/>
  <c r="U130"/>
  <c r="U128"/>
  <c r="U126"/>
  <c r="U124"/>
  <c r="U122"/>
  <c r="U120"/>
  <c r="U118"/>
  <c r="U116"/>
  <c r="U114"/>
  <c r="U112"/>
  <c r="U110"/>
  <c r="U108"/>
  <c r="U106"/>
  <c r="U104"/>
  <c r="U102"/>
  <c r="U100"/>
  <c r="U98"/>
  <c r="U96"/>
  <c r="U94"/>
  <c r="U92"/>
  <c r="U90"/>
  <c r="U88"/>
  <c r="U86"/>
  <c r="U84"/>
  <c r="U82"/>
  <c r="U80"/>
  <c r="U78"/>
  <c r="U76"/>
  <c r="U74"/>
  <c r="U72"/>
  <c r="U70"/>
  <c r="U68"/>
  <c r="U66"/>
  <c r="U64"/>
  <c r="U62"/>
  <c r="U60"/>
  <c r="U58"/>
  <c r="U56"/>
  <c r="U54"/>
  <c r="U52"/>
  <c r="U50"/>
  <c r="U48"/>
  <c r="U46"/>
  <c r="U44"/>
  <c r="U42"/>
  <c r="U40"/>
  <c r="U38"/>
  <c r="U36"/>
  <c r="U34"/>
  <c r="U32"/>
  <c r="U30"/>
  <c r="U28"/>
  <c r="U26"/>
  <c r="U24"/>
  <c r="U22"/>
  <c r="U20"/>
  <c r="U18"/>
  <c r="U16"/>
  <c r="U14"/>
  <c r="I14"/>
  <c r="J14"/>
  <c r="K14"/>
  <c r="V22"/>
  <c r="Z16"/>
  <c r="Z14"/>
  <c r="V198"/>
  <c r="Z204"/>
  <c r="AA204" s="1"/>
  <c r="V204"/>
  <c r="P204"/>
  <c r="O204"/>
  <c r="N204"/>
  <c r="L204"/>
  <c r="K204"/>
  <c r="J204"/>
  <c r="I204"/>
  <c r="Z202"/>
  <c r="AA202" s="1"/>
  <c r="V202"/>
  <c r="P202"/>
  <c r="O202"/>
  <c r="N202"/>
  <c r="L202"/>
  <c r="K202"/>
  <c r="J202"/>
  <c r="I202"/>
  <c r="G201" s="1"/>
  <c r="Z200"/>
  <c r="AA200" s="1"/>
  <c r="V200"/>
  <c r="P200"/>
  <c r="O200"/>
  <c r="N200"/>
  <c r="L200"/>
  <c r="K200"/>
  <c r="J200"/>
  <c r="I200"/>
  <c r="Z198"/>
  <c r="AA198" s="1"/>
  <c r="P198"/>
  <c r="O198"/>
  <c r="N198"/>
  <c r="L198"/>
  <c r="K198"/>
  <c r="J198"/>
  <c r="I198"/>
  <c r="G197" s="1"/>
  <c r="Z196"/>
  <c r="AA196" s="1"/>
  <c r="P196"/>
  <c r="O196"/>
  <c r="N196"/>
  <c r="L196"/>
  <c r="K196"/>
  <c r="J196"/>
  <c r="I196"/>
  <c r="G195" s="1"/>
  <c r="Z194"/>
  <c r="AA194" s="1"/>
  <c r="P194"/>
  <c r="O194"/>
  <c r="N194"/>
  <c r="L194"/>
  <c r="K194"/>
  <c r="J194"/>
  <c r="I194"/>
  <c r="G193" s="1"/>
  <c r="Z192"/>
  <c r="AA192" s="1"/>
  <c r="P192"/>
  <c r="O192"/>
  <c r="N192"/>
  <c r="L192"/>
  <c r="G191" s="1"/>
  <c r="K192"/>
  <c r="J192"/>
  <c r="I192"/>
  <c r="Z190"/>
  <c r="AA190" s="1"/>
  <c r="P190"/>
  <c r="O190"/>
  <c r="N190"/>
  <c r="L190"/>
  <c r="K190"/>
  <c r="J190"/>
  <c r="I190"/>
  <c r="G189" s="1"/>
  <c r="AA188"/>
  <c r="Z188"/>
  <c r="V188"/>
  <c r="P188"/>
  <c r="O188"/>
  <c r="N188"/>
  <c r="L188"/>
  <c r="K188"/>
  <c r="J188"/>
  <c r="I188"/>
  <c r="G187" s="1"/>
  <c r="Z186"/>
  <c r="AA186" s="1"/>
  <c r="V186"/>
  <c r="P186"/>
  <c r="O186"/>
  <c r="N186"/>
  <c r="L186"/>
  <c r="K186"/>
  <c r="J186"/>
  <c r="I186"/>
  <c r="G185" s="1"/>
  <c r="AA184"/>
  <c r="Z184"/>
  <c r="V184"/>
  <c r="P184"/>
  <c r="O184"/>
  <c r="N184"/>
  <c r="L184"/>
  <c r="K184"/>
  <c r="G183" s="1"/>
  <c r="J184"/>
  <c r="I184"/>
  <c r="Z182"/>
  <c r="AA182" s="1"/>
  <c r="V182"/>
  <c r="P182"/>
  <c r="O182"/>
  <c r="N182"/>
  <c r="L182"/>
  <c r="K182"/>
  <c r="J182"/>
  <c r="I182"/>
  <c r="G181" s="1"/>
  <c r="AA180"/>
  <c r="Z180"/>
  <c r="P180"/>
  <c r="O180"/>
  <c r="N180"/>
  <c r="L180"/>
  <c r="K180"/>
  <c r="J180"/>
  <c r="I180"/>
  <c r="G179" s="1"/>
  <c r="Z178"/>
  <c r="AA178" s="1"/>
  <c r="P178"/>
  <c r="O178"/>
  <c r="N178"/>
  <c r="L178"/>
  <c r="K178"/>
  <c r="J178"/>
  <c r="I178"/>
  <c r="G177" s="1"/>
  <c r="Z176"/>
  <c r="AA176" s="1"/>
  <c r="P176"/>
  <c r="O176"/>
  <c r="N176"/>
  <c r="X176" s="1"/>
  <c r="L176"/>
  <c r="G175" s="1"/>
  <c r="K176"/>
  <c r="J176"/>
  <c r="I176"/>
  <c r="Z174"/>
  <c r="AA174" s="1"/>
  <c r="P174"/>
  <c r="O174"/>
  <c r="N174"/>
  <c r="L174"/>
  <c r="K174"/>
  <c r="J174"/>
  <c r="I174"/>
  <c r="AA172"/>
  <c r="Z172"/>
  <c r="V172"/>
  <c r="P172"/>
  <c r="O172"/>
  <c r="N172"/>
  <c r="L172"/>
  <c r="K172"/>
  <c r="J172"/>
  <c r="I172"/>
  <c r="G171" s="1"/>
  <c r="Z170"/>
  <c r="AA170" s="1"/>
  <c r="V170"/>
  <c r="P170"/>
  <c r="O170"/>
  <c r="N170"/>
  <c r="L170"/>
  <c r="K170"/>
  <c r="J170"/>
  <c r="I170"/>
  <c r="G169" s="1"/>
  <c r="Z168"/>
  <c r="AA168" s="1"/>
  <c r="V168"/>
  <c r="P168"/>
  <c r="O168"/>
  <c r="N168"/>
  <c r="L168"/>
  <c r="G167" s="1"/>
  <c r="K168"/>
  <c r="J168"/>
  <c r="I168"/>
  <c r="Z166"/>
  <c r="AA166" s="1"/>
  <c r="V166"/>
  <c r="P166"/>
  <c r="O166"/>
  <c r="N166"/>
  <c r="L166"/>
  <c r="K166"/>
  <c r="J166"/>
  <c r="I166"/>
  <c r="G165" s="1"/>
  <c r="Z164"/>
  <c r="AA164" s="1"/>
  <c r="P164"/>
  <c r="O164"/>
  <c r="N164"/>
  <c r="L164"/>
  <c r="K164"/>
  <c r="J164"/>
  <c r="I164"/>
  <c r="G163" s="1"/>
  <c r="Z162"/>
  <c r="AA162" s="1"/>
  <c r="P162"/>
  <c r="O162"/>
  <c r="N162"/>
  <c r="L162"/>
  <c r="K162"/>
  <c r="J162"/>
  <c r="I162"/>
  <c r="G161" s="1"/>
  <c r="Z160"/>
  <c r="AA160" s="1"/>
  <c r="P160"/>
  <c r="O160"/>
  <c r="N160"/>
  <c r="L160"/>
  <c r="K160"/>
  <c r="J160"/>
  <c r="I160"/>
  <c r="G159" s="1"/>
  <c r="Z158"/>
  <c r="AA158" s="1"/>
  <c r="P158"/>
  <c r="O158"/>
  <c r="N158"/>
  <c r="L158"/>
  <c r="K158"/>
  <c r="J158"/>
  <c r="I158"/>
  <c r="G157" s="1"/>
  <c r="P18"/>
  <c r="O18"/>
  <c r="N18"/>
  <c r="L18"/>
  <c r="K18"/>
  <c r="J18"/>
  <c r="I18"/>
  <c r="G17" s="1"/>
  <c r="P16"/>
  <c r="O16"/>
  <c r="N16"/>
  <c r="L16"/>
  <c r="K16"/>
  <c r="G15" s="1"/>
  <c r="J16"/>
  <c r="I16"/>
  <c r="Q62" i="43" l="1"/>
  <c r="Q63"/>
  <c r="Q61"/>
  <c r="W204" i="39"/>
  <c r="G203"/>
  <c r="G199"/>
  <c r="W174"/>
  <c r="W176"/>
  <c r="Y176" s="1"/>
  <c r="W182"/>
  <c r="W172"/>
  <c r="G173"/>
  <c r="X204"/>
  <c r="W202"/>
  <c r="X202"/>
  <c r="W200"/>
  <c r="Y200" s="1"/>
  <c r="X200"/>
  <c r="W198"/>
  <c r="X198"/>
  <c r="X196"/>
  <c r="X194"/>
  <c r="W194"/>
  <c r="W192"/>
  <c r="X192"/>
  <c r="W190"/>
  <c r="Y190" s="1"/>
  <c r="X190"/>
  <c r="W188"/>
  <c r="X188"/>
  <c r="X186"/>
  <c r="W186"/>
  <c r="W184"/>
  <c r="X184"/>
  <c r="Y182"/>
  <c r="X182"/>
  <c r="W180"/>
  <c r="X180"/>
  <c r="X178"/>
  <c r="W178"/>
  <c r="X174"/>
  <c r="Y174" s="1"/>
  <c r="X172"/>
  <c r="W170"/>
  <c r="X170"/>
  <c r="W168"/>
  <c r="Y168" s="1"/>
  <c r="X168"/>
  <c r="W166"/>
  <c r="X166"/>
  <c r="W164"/>
  <c r="Y164" s="1"/>
  <c r="X164"/>
  <c r="X162"/>
  <c r="W162"/>
  <c r="Y162" s="1"/>
  <c r="W160"/>
  <c r="Y160" s="1"/>
  <c r="X160"/>
  <c r="W158"/>
  <c r="X158"/>
  <c r="Y204"/>
  <c r="Y202"/>
  <c r="W196"/>
  <c r="Y196" s="1"/>
  <c r="Y188"/>
  <c r="Y172"/>
  <c r="Y158" l="1"/>
  <c r="Y170"/>
  <c r="Y178"/>
  <c r="Y186"/>
  <c r="Y180"/>
  <c r="Y184"/>
  <c r="Y198"/>
  <c r="Y194"/>
  <c r="Y192"/>
  <c r="Y166"/>
  <c r="AA156"/>
  <c r="Z156"/>
  <c r="V156"/>
  <c r="P156"/>
  <c r="O156"/>
  <c r="N156"/>
  <c r="L156"/>
  <c r="K156"/>
  <c r="J156"/>
  <c r="I156"/>
  <c r="Z154"/>
  <c r="AA154" s="1"/>
  <c r="V154"/>
  <c r="P154"/>
  <c r="O154"/>
  <c r="N154"/>
  <c r="L154"/>
  <c r="K154"/>
  <c r="J154"/>
  <c r="I154"/>
  <c r="G153" s="1"/>
  <c r="AA152"/>
  <c r="Z152"/>
  <c r="V152"/>
  <c r="P152"/>
  <c r="O152"/>
  <c r="N152"/>
  <c r="L152"/>
  <c r="K152"/>
  <c r="J152"/>
  <c r="I152"/>
  <c r="Z150"/>
  <c r="AA150" s="1"/>
  <c r="V150"/>
  <c r="P150"/>
  <c r="O150"/>
  <c r="N150"/>
  <c r="L150"/>
  <c r="K150"/>
  <c r="J150"/>
  <c r="I150"/>
  <c r="AA148"/>
  <c r="Z148"/>
  <c r="P148"/>
  <c r="O148"/>
  <c r="N148"/>
  <c r="X148" s="1"/>
  <c r="L148"/>
  <c r="K148"/>
  <c r="J148"/>
  <c r="I148"/>
  <c r="AA146"/>
  <c r="Z146"/>
  <c r="P146"/>
  <c r="O146"/>
  <c r="X146" s="1"/>
  <c r="N146"/>
  <c r="L146"/>
  <c r="K146"/>
  <c r="J146"/>
  <c r="I146"/>
  <c r="Z144"/>
  <c r="AA144" s="1"/>
  <c r="P144"/>
  <c r="O144"/>
  <c r="X144" s="1"/>
  <c r="N144"/>
  <c r="L144"/>
  <c r="K144"/>
  <c r="J144"/>
  <c r="I144"/>
  <c r="Z142"/>
  <c r="AA142" s="1"/>
  <c r="P142"/>
  <c r="O142"/>
  <c r="N142"/>
  <c r="L142"/>
  <c r="K142"/>
  <c r="J142"/>
  <c r="I142"/>
  <c r="Z140"/>
  <c r="AA140" s="1"/>
  <c r="P140"/>
  <c r="O140"/>
  <c r="N140"/>
  <c r="L140"/>
  <c r="K140"/>
  <c r="J140"/>
  <c r="I140"/>
  <c r="Z138"/>
  <c r="AA138" s="1"/>
  <c r="P138"/>
  <c r="O138"/>
  <c r="N138"/>
  <c r="L138"/>
  <c r="K138"/>
  <c r="J138"/>
  <c r="I138"/>
  <c r="Z136"/>
  <c r="AA136" s="1"/>
  <c r="P136"/>
  <c r="O136"/>
  <c r="N136"/>
  <c r="L136"/>
  <c r="K136"/>
  <c r="J136"/>
  <c r="I136"/>
  <c r="Z134"/>
  <c r="AA134" s="1"/>
  <c r="P134"/>
  <c r="O134"/>
  <c r="N134"/>
  <c r="L134"/>
  <c r="K134"/>
  <c r="J134"/>
  <c r="I134"/>
  <c r="Z132"/>
  <c r="AA132" s="1"/>
  <c r="P132"/>
  <c r="O132"/>
  <c r="N132"/>
  <c r="L132"/>
  <c r="K132"/>
  <c r="J132"/>
  <c r="I132"/>
  <c r="Z130"/>
  <c r="AA130" s="1"/>
  <c r="P130"/>
  <c r="O130"/>
  <c r="N130"/>
  <c r="L130"/>
  <c r="K130"/>
  <c r="J130"/>
  <c r="I130"/>
  <c r="Z128"/>
  <c r="AA128" s="1"/>
  <c r="P128"/>
  <c r="O128"/>
  <c r="N128"/>
  <c r="L128"/>
  <c r="K128"/>
  <c r="J128"/>
  <c r="I128"/>
  <c r="Z126"/>
  <c r="AA126" s="1"/>
  <c r="P126"/>
  <c r="O126"/>
  <c r="N126"/>
  <c r="L126"/>
  <c r="K126"/>
  <c r="J126"/>
  <c r="I126"/>
  <c r="Z124"/>
  <c r="AA124" s="1"/>
  <c r="P124"/>
  <c r="O124"/>
  <c r="N124"/>
  <c r="L124"/>
  <c r="K124"/>
  <c r="J124"/>
  <c r="I124"/>
  <c r="Z122"/>
  <c r="AA122" s="1"/>
  <c r="P122"/>
  <c r="O122"/>
  <c r="N122"/>
  <c r="L122"/>
  <c r="K122"/>
  <c r="J122"/>
  <c r="I122"/>
  <c r="Z120"/>
  <c r="AA120" s="1"/>
  <c r="P120"/>
  <c r="O120"/>
  <c r="N120"/>
  <c r="L120"/>
  <c r="K120"/>
  <c r="J120"/>
  <c r="I120"/>
  <c r="Z118"/>
  <c r="AA118" s="1"/>
  <c r="P118"/>
  <c r="O118"/>
  <c r="N118"/>
  <c r="L118"/>
  <c r="K118"/>
  <c r="J118"/>
  <c r="I118"/>
  <c r="Z116"/>
  <c r="AA116" s="1"/>
  <c r="V116"/>
  <c r="P116"/>
  <c r="O116"/>
  <c r="N116"/>
  <c r="L116"/>
  <c r="K116"/>
  <c r="J116"/>
  <c r="I116"/>
  <c r="Z114"/>
  <c r="AA114" s="1"/>
  <c r="V114"/>
  <c r="P114"/>
  <c r="O114"/>
  <c r="N114"/>
  <c r="L114"/>
  <c r="K114"/>
  <c r="J114"/>
  <c r="I114"/>
  <c r="G113" s="1"/>
  <c r="AA112"/>
  <c r="Z112"/>
  <c r="V112"/>
  <c r="P112"/>
  <c r="O112"/>
  <c r="N112"/>
  <c r="L112"/>
  <c r="K112"/>
  <c r="J112"/>
  <c r="I112"/>
  <c r="Z110"/>
  <c r="AA110" s="1"/>
  <c r="V110"/>
  <c r="P110"/>
  <c r="O110"/>
  <c r="N110"/>
  <c r="L110"/>
  <c r="K110"/>
  <c r="J110"/>
  <c r="I110"/>
  <c r="Z108"/>
  <c r="AA108" s="1"/>
  <c r="P108"/>
  <c r="O108"/>
  <c r="N108"/>
  <c r="L108"/>
  <c r="K108"/>
  <c r="J108"/>
  <c r="I108"/>
  <c r="Z106"/>
  <c r="AA106" s="1"/>
  <c r="P106"/>
  <c r="O106"/>
  <c r="N106"/>
  <c r="L106"/>
  <c r="K106"/>
  <c r="J106"/>
  <c r="I106"/>
  <c r="Z104"/>
  <c r="AA104" s="1"/>
  <c r="P104"/>
  <c r="O104"/>
  <c r="N104"/>
  <c r="L104"/>
  <c r="K104"/>
  <c r="J104"/>
  <c r="I104"/>
  <c r="Z102"/>
  <c r="AA102" s="1"/>
  <c r="P102"/>
  <c r="O102"/>
  <c r="N102"/>
  <c r="X102" s="1"/>
  <c r="L102"/>
  <c r="K102"/>
  <c r="J102"/>
  <c r="I102"/>
  <c r="AA100"/>
  <c r="Z100"/>
  <c r="V100"/>
  <c r="P100"/>
  <c r="O100"/>
  <c r="N100"/>
  <c r="L100"/>
  <c r="K100"/>
  <c r="J100"/>
  <c r="I100"/>
  <c r="Z98"/>
  <c r="AA98" s="1"/>
  <c r="V98"/>
  <c r="P98"/>
  <c r="O98"/>
  <c r="N98"/>
  <c r="L98"/>
  <c r="K98"/>
  <c r="J98"/>
  <c r="I98"/>
  <c r="Z96"/>
  <c r="AA96" s="1"/>
  <c r="V96"/>
  <c r="P96"/>
  <c r="O96"/>
  <c r="N96"/>
  <c r="L96"/>
  <c r="K96"/>
  <c r="J96"/>
  <c r="I96"/>
  <c r="G95" s="1"/>
  <c r="Z94"/>
  <c r="AA94" s="1"/>
  <c r="V94"/>
  <c r="P94"/>
  <c r="O94"/>
  <c r="N94"/>
  <c r="L94"/>
  <c r="K94"/>
  <c r="J94"/>
  <c r="I94"/>
  <c r="Z92"/>
  <c r="AA92" s="1"/>
  <c r="P92"/>
  <c r="O92"/>
  <c r="N92"/>
  <c r="L92"/>
  <c r="K92"/>
  <c r="J92"/>
  <c r="I92"/>
  <c r="Z90"/>
  <c r="AA90" s="1"/>
  <c r="P90"/>
  <c r="O90"/>
  <c r="N90"/>
  <c r="L90"/>
  <c r="K90"/>
  <c r="J90"/>
  <c r="I90"/>
  <c r="Z88"/>
  <c r="AA88" s="1"/>
  <c r="P88"/>
  <c r="O88"/>
  <c r="N88"/>
  <c r="L88"/>
  <c r="K88"/>
  <c r="J88"/>
  <c r="I88"/>
  <c r="Z86"/>
  <c r="AA86" s="1"/>
  <c r="P86"/>
  <c r="O86"/>
  <c r="N86"/>
  <c r="L86"/>
  <c r="K86"/>
  <c r="J86"/>
  <c r="I86"/>
  <c r="Z84"/>
  <c r="AA84" s="1"/>
  <c r="V84"/>
  <c r="P84"/>
  <c r="O84"/>
  <c r="N84"/>
  <c r="L84"/>
  <c r="K84"/>
  <c r="J84"/>
  <c r="I84"/>
  <c r="Z82"/>
  <c r="AA82" s="1"/>
  <c r="V82"/>
  <c r="P82"/>
  <c r="O82"/>
  <c r="N82"/>
  <c r="L82"/>
  <c r="K82"/>
  <c r="J82"/>
  <c r="I82"/>
  <c r="Z80"/>
  <c r="AA80" s="1"/>
  <c r="V80"/>
  <c r="P80"/>
  <c r="O80"/>
  <c r="N80"/>
  <c r="L80"/>
  <c r="K80"/>
  <c r="J80"/>
  <c r="I80"/>
  <c r="G79" s="1"/>
  <c r="Z78"/>
  <c r="AA78" s="1"/>
  <c r="V78"/>
  <c r="P78"/>
  <c r="O78"/>
  <c r="N78"/>
  <c r="L78"/>
  <c r="K78"/>
  <c r="J78"/>
  <c r="I78"/>
  <c r="Z76"/>
  <c r="AA76" s="1"/>
  <c r="P76"/>
  <c r="O76"/>
  <c r="N76"/>
  <c r="L76"/>
  <c r="K76"/>
  <c r="J76"/>
  <c r="I76"/>
  <c r="Z74"/>
  <c r="AA74" s="1"/>
  <c r="P74"/>
  <c r="O74"/>
  <c r="N74"/>
  <c r="L74"/>
  <c r="K74"/>
  <c r="J74"/>
  <c r="I74"/>
  <c r="Z72"/>
  <c r="AA72" s="1"/>
  <c r="P72"/>
  <c r="O72"/>
  <c r="N72"/>
  <c r="L72"/>
  <c r="K72"/>
  <c r="J72"/>
  <c r="I72"/>
  <c r="Z70"/>
  <c r="AA70" s="1"/>
  <c r="P70"/>
  <c r="O70"/>
  <c r="N70"/>
  <c r="L70"/>
  <c r="K70"/>
  <c r="J70"/>
  <c r="I70"/>
  <c r="Z68"/>
  <c r="AA68" s="1"/>
  <c r="P68"/>
  <c r="O68"/>
  <c r="N68"/>
  <c r="L68"/>
  <c r="K68"/>
  <c r="J68"/>
  <c r="I68"/>
  <c r="Z66"/>
  <c r="AA66" s="1"/>
  <c r="P66"/>
  <c r="O66"/>
  <c r="N66"/>
  <c r="L66"/>
  <c r="K66"/>
  <c r="J66"/>
  <c r="I66"/>
  <c r="Z64"/>
  <c r="AA64" s="1"/>
  <c r="P64"/>
  <c r="O64"/>
  <c r="N64"/>
  <c r="L64"/>
  <c r="K64"/>
  <c r="J64"/>
  <c r="I64"/>
  <c r="Z62"/>
  <c r="AA62" s="1"/>
  <c r="P62"/>
  <c r="O62"/>
  <c r="N62"/>
  <c r="L62"/>
  <c r="K62"/>
  <c r="J62"/>
  <c r="I62"/>
  <c r="AA60"/>
  <c r="Z60"/>
  <c r="P60"/>
  <c r="O60"/>
  <c r="N60"/>
  <c r="L60"/>
  <c r="K60"/>
  <c r="J60"/>
  <c r="I60"/>
  <c r="G59" s="1"/>
  <c r="Z58"/>
  <c r="AA58" s="1"/>
  <c r="P58"/>
  <c r="O58"/>
  <c r="N58"/>
  <c r="L58"/>
  <c r="K58"/>
  <c r="J58"/>
  <c r="I58"/>
  <c r="G57" s="1"/>
  <c r="Z56"/>
  <c r="AA56" s="1"/>
  <c r="P56"/>
  <c r="O56"/>
  <c r="N56"/>
  <c r="L56"/>
  <c r="K56"/>
  <c r="J56"/>
  <c r="I56"/>
  <c r="G55" s="1"/>
  <c r="Z54"/>
  <c r="AA54" s="1"/>
  <c r="P54"/>
  <c r="O54"/>
  <c r="N54"/>
  <c r="L54"/>
  <c r="K54"/>
  <c r="J54"/>
  <c r="I54"/>
  <c r="G53" s="1"/>
  <c r="AA52"/>
  <c r="Z52"/>
  <c r="P52"/>
  <c r="O52"/>
  <c r="N52"/>
  <c r="L52"/>
  <c r="K52"/>
  <c r="J52"/>
  <c r="I52"/>
  <c r="Z50"/>
  <c r="AA50" s="1"/>
  <c r="P50"/>
  <c r="O50"/>
  <c r="N50"/>
  <c r="L50"/>
  <c r="K50"/>
  <c r="J50"/>
  <c r="I50"/>
  <c r="Z48"/>
  <c r="AA48" s="1"/>
  <c r="P48"/>
  <c r="O48"/>
  <c r="N48"/>
  <c r="L48"/>
  <c r="K48"/>
  <c r="J48"/>
  <c r="I48"/>
  <c r="Z46"/>
  <c r="AA46" s="1"/>
  <c r="P46"/>
  <c r="O46"/>
  <c r="N46"/>
  <c r="L46"/>
  <c r="K46"/>
  <c r="J46"/>
  <c r="I46"/>
  <c r="Z44"/>
  <c r="AA44" s="1"/>
  <c r="V44"/>
  <c r="P44"/>
  <c r="O44"/>
  <c r="N44"/>
  <c r="L44"/>
  <c r="K44"/>
  <c r="J44"/>
  <c r="I44"/>
  <c r="G43" s="1"/>
  <c r="Z42"/>
  <c r="AA42" s="1"/>
  <c r="V42"/>
  <c r="P42"/>
  <c r="O42"/>
  <c r="N42"/>
  <c r="L42"/>
  <c r="K42"/>
  <c r="J42"/>
  <c r="I42"/>
  <c r="Z40"/>
  <c r="AA40" s="1"/>
  <c r="V40"/>
  <c r="P40"/>
  <c r="O40"/>
  <c r="N40"/>
  <c r="L40"/>
  <c r="K40"/>
  <c r="J40"/>
  <c r="I40"/>
  <c r="Z38"/>
  <c r="AA38" s="1"/>
  <c r="V38"/>
  <c r="P38"/>
  <c r="O38"/>
  <c r="N38"/>
  <c r="L38"/>
  <c r="K38"/>
  <c r="J38"/>
  <c r="I38"/>
  <c r="G37" s="1"/>
  <c r="AA36"/>
  <c r="Z36"/>
  <c r="P36"/>
  <c r="O36"/>
  <c r="N36"/>
  <c r="L36"/>
  <c r="K36"/>
  <c r="J36"/>
  <c r="I36"/>
  <c r="Z34"/>
  <c r="AA34" s="1"/>
  <c r="P34"/>
  <c r="O34"/>
  <c r="N34"/>
  <c r="L34"/>
  <c r="K34"/>
  <c r="J34"/>
  <c r="I34"/>
  <c r="Z32"/>
  <c r="AA32" s="1"/>
  <c r="P32"/>
  <c r="O32"/>
  <c r="N32"/>
  <c r="L32"/>
  <c r="K32"/>
  <c r="J32"/>
  <c r="I32"/>
  <c r="Z30"/>
  <c r="AA30" s="1"/>
  <c r="P30"/>
  <c r="O30"/>
  <c r="N30"/>
  <c r="L30"/>
  <c r="K30"/>
  <c r="J30"/>
  <c r="I30"/>
  <c r="Z28"/>
  <c r="AA28" s="1"/>
  <c r="V28"/>
  <c r="P28"/>
  <c r="O28"/>
  <c r="N28"/>
  <c r="L28"/>
  <c r="K28"/>
  <c r="J28"/>
  <c r="I28"/>
  <c r="Z26"/>
  <c r="AA26" s="1"/>
  <c r="V26"/>
  <c r="P26"/>
  <c r="O26"/>
  <c r="N26"/>
  <c r="L26"/>
  <c r="K26"/>
  <c r="J26"/>
  <c r="I26"/>
  <c r="Z24"/>
  <c r="AA24" s="1"/>
  <c r="V24"/>
  <c r="P24"/>
  <c r="O24"/>
  <c r="N24"/>
  <c r="X24" s="1"/>
  <c r="L24"/>
  <c r="K24"/>
  <c r="J24"/>
  <c r="I24"/>
  <c r="G23" s="1"/>
  <c r="Z22"/>
  <c r="AA22" s="1"/>
  <c r="P22"/>
  <c r="O22"/>
  <c r="N22"/>
  <c r="L22"/>
  <c r="K22"/>
  <c r="J22"/>
  <c r="I22"/>
  <c r="Z20"/>
  <c r="AA20" s="1"/>
  <c r="P20"/>
  <c r="O20"/>
  <c r="N20"/>
  <c r="L20"/>
  <c r="K20"/>
  <c r="J20"/>
  <c r="I20"/>
  <c r="Z18"/>
  <c r="AA18" s="1"/>
  <c r="W18"/>
  <c r="AA16"/>
  <c r="W16"/>
  <c r="AA14"/>
  <c r="P14"/>
  <c r="O14"/>
  <c r="N14"/>
  <c r="L14"/>
  <c r="G13" s="1"/>
  <c r="G147" l="1"/>
  <c r="G25"/>
  <c r="W26"/>
  <c r="W64"/>
  <c r="G63"/>
  <c r="W66"/>
  <c r="G65"/>
  <c r="W102"/>
  <c r="G101"/>
  <c r="G149"/>
  <c r="X22"/>
  <c r="G39"/>
  <c r="G61"/>
  <c r="G81"/>
  <c r="G103"/>
  <c r="G105"/>
  <c r="G107"/>
  <c r="G109"/>
  <c r="G115"/>
  <c r="G41"/>
  <c r="W128"/>
  <c r="G127"/>
  <c r="G21"/>
  <c r="G33"/>
  <c r="G51"/>
  <c r="G75"/>
  <c r="G77"/>
  <c r="G85"/>
  <c r="G87"/>
  <c r="G89"/>
  <c r="G91"/>
  <c r="G93"/>
  <c r="G99"/>
  <c r="G125"/>
  <c r="G129"/>
  <c r="G131"/>
  <c r="G133"/>
  <c r="G135"/>
  <c r="G137"/>
  <c r="G139"/>
  <c r="G141"/>
  <c r="G143"/>
  <c r="G145"/>
  <c r="W156"/>
  <c r="G45"/>
  <c r="W98"/>
  <c r="Y98" s="1"/>
  <c r="G97"/>
  <c r="G19"/>
  <c r="G29"/>
  <c r="G31"/>
  <c r="G35"/>
  <c r="G27"/>
  <c r="G47"/>
  <c r="G49"/>
  <c r="G67"/>
  <c r="G69"/>
  <c r="G71"/>
  <c r="G73"/>
  <c r="G83"/>
  <c r="G111"/>
  <c r="G117"/>
  <c r="G119"/>
  <c r="G121"/>
  <c r="G123"/>
  <c r="G151"/>
  <c r="X154"/>
  <c r="G155"/>
  <c r="W152"/>
  <c r="X150"/>
  <c r="W138"/>
  <c r="X136"/>
  <c r="W130"/>
  <c r="W118"/>
  <c r="Y118" s="1"/>
  <c r="X118"/>
  <c r="Y102"/>
  <c r="W94"/>
  <c r="W84"/>
  <c r="X82"/>
  <c r="W80"/>
  <c r="X78"/>
  <c r="Y78" s="1"/>
  <c r="X76"/>
  <c r="X74"/>
  <c r="X72"/>
  <c r="W54"/>
  <c r="X54"/>
  <c r="W44"/>
  <c r="X42"/>
  <c r="W40"/>
  <c r="Y40" s="1"/>
  <c r="X38"/>
  <c r="X36"/>
  <c r="X34"/>
  <c r="Y34" s="1"/>
  <c r="X32"/>
  <c r="X28"/>
  <c r="X26"/>
  <c r="Y26" s="1"/>
  <c r="X14"/>
  <c r="X44"/>
  <c r="Y44" s="1"/>
  <c r="X48"/>
  <c r="X50"/>
  <c r="X52"/>
  <c r="W62"/>
  <c r="W72"/>
  <c r="W74"/>
  <c r="Y74" s="1"/>
  <c r="X80"/>
  <c r="X88"/>
  <c r="X90"/>
  <c r="X92"/>
  <c r="W96"/>
  <c r="W100"/>
  <c r="W110"/>
  <c r="W126"/>
  <c r="X134"/>
  <c r="W146"/>
  <c r="X156"/>
  <c r="Y156" s="1"/>
  <c r="X16"/>
  <c r="Y16" s="1"/>
  <c r="X18"/>
  <c r="Y18" s="1"/>
  <c r="X20"/>
  <c r="W24"/>
  <c r="Y24" s="1"/>
  <c r="W28"/>
  <c r="Y28" s="1"/>
  <c r="W38"/>
  <c r="W42"/>
  <c r="W46"/>
  <c r="X46"/>
  <c r="W56"/>
  <c r="W58"/>
  <c r="X64"/>
  <c r="Y64" s="1"/>
  <c r="X66"/>
  <c r="Y66" s="1"/>
  <c r="W68"/>
  <c r="X68"/>
  <c r="W78"/>
  <c r="W82"/>
  <c r="Y82" s="1"/>
  <c r="W86"/>
  <c r="X86"/>
  <c r="W104"/>
  <c r="W106"/>
  <c r="X110"/>
  <c r="X112"/>
  <c r="X114"/>
  <c r="W120"/>
  <c r="W122"/>
  <c r="X128"/>
  <c r="Y128" s="1"/>
  <c r="X130"/>
  <c r="Y130" s="1"/>
  <c r="X132"/>
  <c r="X138"/>
  <c r="Y138" s="1"/>
  <c r="X140"/>
  <c r="W150"/>
  <c r="Y150" s="1"/>
  <c r="W154"/>
  <c r="Y154" s="1"/>
  <c r="W14"/>
  <c r="Y14" s="1"/>
  <c r="W32"/>
  <c r="W34"/>
  <c r="X40"/>
  <c r="X62"/>
  <c r="X84"/>
  <c r="W114"/>
  <c r="W116"/>
  <c r="X126"/>
  <c r="W136"/>
  <c r="W144"/>
  <c r="Y144" s="1"/>
  <c r="X152"/>
  <c r="W22"/>
  <c r="W30"/>
  <c r="X30"/>
  <c r="W48"/>
  <c r="W50"/>
  <c r="Y50" s="1"/>
  <c r="X56"/>
  <c r="X58"/>
  <c r="X60"/>
  <c r="W70"/>
  <c r="X70"/>
  <c r="W88"/>
  <c r="W90"/>
  <c r="X94"/>
  <c r="X96"/>
  <c r="X98"/>
  <c r="X100"/>
  <c r="X104"/>
  <c r="X106"/>
  <c r="X108"/>
  <c r="W112"/>
  <c r="X116"/>
  <c r="X120"/>
  <c r="X122"/>
  <c r="X124"/>
  <c r="W134"/>
  <c r="Y134" s="1"/>
  <c r="W142"/>
  <c r="X142"/>
  <c r="Y72"/>
  <c r="Y146"/>
  <c r="Y38"/>
  <c r="W20"/>
  <c r="W52"/>
  <c r="Y52" s="1"/>
  <c r="W76"/>
  <c r="W124"/>
  <c r="W132"/>
  <c r="W148"/>
  <c r="Y148" s="1"/>
  <c r="W36"/>
  <c r="W60"/>
  <c r="W92"/>
  <c r="Y92" s="1"/>
  <c r="W108"/>
  <c r="W140"/>
  <c r="Y22" l="1"/>
  <c r="Y114"/>
  <c r="Y54"/>
  <c r="Y62"/>
  <c r="Y124"/>
  <c r="Y94"/>
  <c r="Y120"/>
  <c r="Y60"/>
  <c r="Y20"/>
  <c r="Y112"/>
  <c r="Y30"/>
  <c r="Y136"/>
  <c r="Y86"/>
  <c r="Y68"/>
  <c r="Y42"/>
  <c r="Y90"/>
  <c r="Y152"/>
  <c r="Y142"/>
  <c r="Y140"/>
  <c r="Y132"/>
  <c r="Y116"/>
  <c r="Y100"/>
  <c r="Y88"/>
  <c r="Y84"/>
  <c r="Y80"/>
  <c r="Y76"/>
  <c r="Y48"/>
  <c r="Y36"/>
  <c r="Y32"/>
  <c r="Y106"/>
  <c r="Y122"/>
  <c r="Y110"/>
  <c r="Y108"/>
  <c r="Y70"/>
  <c r="Y104"/>
  <c r="Y46"/>
  <c r="Y126"/>
  <c r="Y96"/>
  <c r="Y56"/>
  <c r="Y58"/>
  <c r="T129" i="35" l="1"/>
  <c r="S129"/>
  <c r="N128"/>
  <c r="L128"/>
  <c r="K128"/>
  <c r="J128"/>
  <c r="N127"/>
  <c r="L127"/>
  <c r="K127"/>
  <c r="J127"/>
  <c r="N126"/>
  <c r="L126"/>
  <c r="K126"/>
  <c r="J126"/>
  <c r="N125"/>
  <c r="L125"/>
  <c r="K125"/>
  <c r="J125"/>
  <c r="N124"/>
  <c r="L124"/>
  <c r="K124"/>
  <c r="J124"/>
  <c r="N123"/>
  <c r="L123"/>
  <c r="K123"/>
  <c r="J123"/>
  <c r="N122"/>
  <c r="L122"/>
  <c r="K122"/>
  <c r="J122"/>
  <c r="N121"/>
  <c r="L121"/>
  <c r="K121"/>
  <c r="J121"/>
  <c r="N120"/>
  <c r="L120"/>
  <c r="K120"/>
  <c r="J120"/>
  <c r="N119"/>
  <c r="L119"/>
  <c r="K119"/>
  <c r="J119"/>
  <c r="N118"/>
  <c r="L118"/>
  <c r="K118"/>
  <c r="J118"/>
  <c r="N117"/>
  <c r="L117"/>
  <c r="K117"/>
  <c r="J117"/>
  <c r="N116"/>
  <c r="L116"/>
  <c r="K116"/>
  <c r="J116"/>
  <c r="N115"/>
  <c r="L115"/>
  <c r="K115"/>
  <c r="J115"/>
  <c r="N114"/>
  <c r="L114"/>
  <c r="K114"/>
  <c r="J114"/>
  <c r="N113"/>
  <c r="L113"/>
  <c r="K113"/>
  <c r="J113"/>
  <c r="N112"/>
  <c r="L112"/>
  <c r="K112"/>
  <c r="J112"/>
  <c r="N111"/>
  <c r="L111"/>
  <c r="K111"/>
  <c r="J111"/>
  <c r="N110"/>
  <c r="L110"/>
  <c r="K110"/>
  <c r="J110"/>
  <c r="N109"/>
  <c r="L109"/>
  <c r="K109"/>
  <c r="J109"/>
  <c r="N108"/>
  <c r="L108"/>
  <c r="K108"/>
  <c r="J108"/>
  <c r="N107"/>
  <c r="L107"/>
  <c r="K107"/>
  <c r="J107"/>
  <c r="N106"/>
  <c r="L106"/>
  <c r="K106"/>
  <c r="J106"/>
  <c r="N105"/>
  <c r="L105"/>
  <c r="K105"/>
  <c r="J105"/>
  <c r="N104"/>
  <c r="L104"/>
  <c r="K104"/>
  <c r="J104"/>
  <c r="N103"/>
  <c r="L103"/>
  <c r="K103"/>
  <c r="J103"/>
  <c r="N102"/>
  <c r="L102"/>
  <c r="K102"/>
  <c r="J102"/>
  <c r="N101"/>
  <c r="L101"/>
  <c r="K101"/>
  <c r="J101"/>
  <c r="N100"/>
  <c r="L100"/>
  <c r="K100"/>
  <c r="J100"/>
  <c r="N99"/>
  <c r="L99"/>
  <c r="K99"/>
  <c r="J99"/>
  <c r="N98"/>
  <c r="L98"/>
  <c r="K98"/>
  <c r="J98"/>
  <c r="N97"/>
  <c r="L97"/>
  <c r="K97"/>
  <c r="J97"/>
  <c r="N96"/>
  <c r="L96"/>
  <c r="K96"/>
  <c r="J96"/>
  <c r="N95"/>
  <c r="L95"/>
  <c r="K95"/>
  <c r="J95"/>
  <c r="N94"/>
  <c r="L94"/>
  <c r="K94"/>
  <c r="J94"/>
  <c r="N93"/>
  <c r="L93"/>
  <c r="K93"/>
  <c r="J93"/>
  <c r="N92"/>
  <c r="L92"/>
  <c r="K92"/>
  <c r="J92"/>
  <c r="N91"/>
  <c r="L91"/>
  <c r="K91"/>
  <c r="J91"/>
  <c r="N90"/>
  <c r="L90"/>
  <c r="K90"/>
  <c r="J90"/>
  <c r="N89"/>
  <c r="L89"/>
  <c r="K89"/>
  <c r="J89"/>
  <c r="N88"/>
  <c r="L88"/>
  <c r="K88"/>
  <c r="J88"/>
  <c r="N87"/>
  <c r="L87"/>
  <c r="K87"/>
  <c r="J87"/>
  <c r="N86"/>
  <c r="L86"/>
  <c r="K86"/>
  <c r="J86"/>
  <c r="N85"/>
  <c r="L85"/>
  <c r="K85"/>
  <c r="J85"/>
  <c r="N84"/>
  <c r="L84"/>
  <c r="K84"/>
  <c r="J84"/>
  <c r="N83"/>
  <c r="L83"/>
  <c r="K83"/>
  <c r="J83"/>
  <c r="N82"/>
  <c r="L82"/>
  <c r="K82"/>
  <c r="J82"/>
  <c r="N81"/>
  <c r="L81"/>
  <c r="K81"/>
  <c r="J81"/>
  <c r="N80"/>
  <c r="L80"/>
  <c r="K80"/>
  <c r="J80"/>
  <c r="N79"/>
  <c r="L79"/>
  <c r="K79"/>
  <c r="J79"/>
  <c r="N78"/>
  <c r="L78"/>
  <c r="K78"/>
  <c r="J78"/>
  <c r="N77"/>
  <c r="L77"/>
  <c r="K77"/>
  <c r="J77"/>
  <c r="N76"/>
  <c r="L76"/>
  <c r="K76"/>
  <c r="J76"/>
  <c r="N75"/>
  <c r="L75"/>
  <c r="K75"/>
  <c r="J75"/>
  <c r="N74"/>
  <c r="L74"/>
  <c r="K74"/>
  <c r="J74"/>
  <c r="N73"/>
  <c r="L73"/>
  <c r="K73"/>
  <c r="J73"/>
  <c r="N72"/>
  <c r="L72"/>
  <c r="K72"/>
  <c r="J72"/>
  <c r="N71"/>
  <c r="L71"/>
  <c r="K71"/>
  <c r="J71"/>
  <c r="N70"/>
  <c r="L70"/>
  <c r="K70"/>
  <c r="J70"/>
  <c r="N69"/>
  <c r="L69"/>
  <c r="K69"/>
  <c r="J69"/>
  <c r="N68"/>
  <c r="L68"/>
  <c r="K68"/>
  <c r="J68"/>
  <c r="N67"/>
  <c r="L67"/>
  <c r="K67"/>
  <c r="J67"/>
  <c r="N66"/>
  <c r="L66"/>
  <c r="K66"/>
  <c r="J66"/>
  <c r="N65"/>
  <c r="L65"/>
  <c r="K65"/>
  <c r="J65"/>
  <c r="N64"/>
  <c r="L64"/>
  <c r="K64"/>
  <c r="J64"/>
  <c r="N63"/>
  <c r="L63"/>
  <c r="K63"/>
  <c r="J63"/>
  <c r="N62"/>
  <c r="L62"/>
  <c r="K62"/>
  <c r="J62"/>
  <c r="N61"/>
  <c r="L61"/>
  <c r="K61"/>
  <c r="J61"/>
  <c r="N60"/>
  <c r="L60"/>
  <c r="K60"/>
  <c r="J60"/>
  <c r="N59"/>
  <c r="L59"/>
  <c r="K59"/>
  <c r="J59"/>
  <c r="N58"/>
  <c r="L58"/>
  <c r="K58"/>
  <c r="J58"/>
  <c r="N57"/>
  <c r="L57"/>
  <c r="K57"/>
  <c r="J57"/>
  <c r="N56"/>
  <c r="L56"/>
  <c r="K56"/>
  <c r="J56"/>
  <c r="N55"/>
  <c r="L55"/>
  <c r="K55"/>
  <c r="J55"/>
  <c r="N54"/>
  <c r="L54"/>
  <c r="K54"/>
  <c r="J54"/>
  <c r="N53"/>
  <c r="L53"/>
  <c r="K53"/>
  <c r="J53"/>
  <c r="N52"/>
  <c r="L52"/>
  <c r="K52"/>
  <c r="J52"/>
  <c r="N51"/>
  <c r="L51"/>
  <c r="K51"/>
  <c r="J51"/>
  <c r="N50"/>
  <c r="L50"/>
  <c r="K50"/>
  <c r="J50"/>
  <c r="N49"/>
  <c r="L49"/>
  <c r="K49"/>
  <c r="J49"/>
  <c r="N48"/>
  <c r="L48"/>
  <c r="K48"/>
  <c r="J48"/>
  <c r="N47"/>
  <c r="L47"/>
  <c r="K47"/>
  <c r="J47"/>
  <c r="N46"/>
  <c r="L46"/>
  <c r="K46"/>
  <c r="J46"/>
  <c r="N45"/>
  <c r="L45"/>
  <c r="K45"/>
  <c r="J45"/>
  <c r="N44"/>
  <c r="L44"/>
  <c r="K44"/>
  <c r="J44"/>
  <c r="N43"/>
  <c r="L43"/>
  <c r="K43"/>
  <c r="J43"/>
  <c r="N42"/>
  <c r="L42"/>
  <c r="K42"/>
  <c r="J42"/>
  <c r="N41"/>
  <c r="L41"/>
  <c r="K41"/>
  <c r="J41"/>
  <c r="N40"/>
  <c r="L40"/>
  <c r="K40"/>
  <c r="J40"/>
  <c r="N39"/>
  <c r="L39"/>
  <c r="K39"/>
  <c r="J39"/>
  <c r="N38"/>
  <c r="L38"/>
  <c r="K38"/>
  <c r="J38"/>
  <c r="N37"/>
  <c r="L37"/>
  <c r="K37"/>
  <c r="J37"/>
  <c r="N36"/>
  <c r="L36"/>
  <c r="K36"/>
  <c r="J36"/>
  <c r="N35"/>
  <c r="L35"/>
  <c r="K35"/>
  <c r="J35"/>
  <c r="N34"/>
  <c r="L34"/>
  <c r="K34"/>
  <c r="J34"/>
  <c r="N33"/>
  <c r="L33"/>
  <c r="K33"/>
  <c r="J33"/>
  <c r="N32"/>
  <c r="L32"/>
  <c r="K32"/>
  <c r="J32"/>
  <c r="N31"/>
  <c r="L31"/>
  <c r="K31"/>
  <c r="J31"/>
  <c r="N30"/>
  <c r="L30"/>
  <c r="K30"/>
  <c r="J30"/>
  <c r="N29"/>
  <c r="L29"/>
  <c r="K29"/>
  <c r="J29"/>
  <c r="N28"/>
  <c r="L28"/>
  <c r="K28"/>
  <c r="J28"/>
  <c r="N27"/>
  <c r="L27"/>
  <c r="K27"/>
  <c r="J27"/>
  <c r="N26"/>
  <c r="L26"/>
  <c r="K26"/>
  <c r="J26"/>
  <c r="N25"/>
  <c r="L25"/>
  <c r="K25"/>
  <c r="J25"/>
  <c r="N24"/>
  <c r="L24"/>
  <c r="K24"/>
  <c r="J24"/>
  <c r="N23"/>
  <c r="L23"/>
  <c r="K23"/>
  <c r="J23"/>
  <c r="N22"/>
  <c r="L22"/>
  <c r="K22"/>
  <c r="J22"/>
  <c r="N21"/>
  <c r="L21"/>
  <c r="K21"/>
  <c r="J21"/>
  <c r="N20"/>
  <c r="L20"/>
  <c r="K20"/>
  <c r="J20"/>
  <c r="N19"/>
  <c r="L19"/>
  <c r="K19"/>
  <c r="J19"/>
  <c r="N18"/>
  <c r="L18"/>
  <c r="K18"/>
  <c r="J18"/>
  <c r="N17"/>
  <c r="L17"/>
  <c r="K17"/>
  <c r="J17"/>
  <c r="N16"/>
  <c r="L16"/>
  <c r="K16"/>
  <c r="J16"/>
  <c r="N15"/>
  <c r="L15"/>
  <c r="K15"/>
  <c r="J15"/>
  <c r="N14"/>
  <c r="L14"/>
  <c r="K14"/>
  <c r="J14"/>
  <c r="N13"/>
  <c r="L13"/>
  <c r="K13"/>
  <c r="J13"/>
  <c r="N12"/>
  <c r="L12"/>
  <c r="K12"/>
  <c r="J12"/>
  <c r="N11"/>
  <c r="L11"/>
  <c r="K11"/>
  <c r="J11"/>
  <c r="N10"/>
  <c r="L10"/>
  <c r="K10"/>
  <c r="J10"/>
  <c r="N9"/>
  <c r="L9"/>
  <c r="K9"/>
  <c r="J9"/>
  <c r="N8"/>
  <c r="L8"/>
  <c r="K8"/>
  <c r="J8"/>
  <c r="N7"/>
  <c r="L7"/>
  <c r="K7"/>
  <c r="J7"/>
  <c r="N6"/>
  <c r="L6"/>
  <c r="K6"/>
  <c r="J6"/>
  <c r="N5"/>
  <c r="L5"/>
  <c r="K5"/>
  <c r="J5"/>
  <c r="N4"/>
  <c r="L4"/>
  <c r="K4"/>
  <c r="J4"/>
  <c r="K96" i="34"/>
  <c r="L96" s="1"/>
  <c r="N96" s="1"/>
  <c r="J96"/>
  <c r="K95"/>
  <c r="L95" s="1"/>
  <c r="N95" s="1"/>
  <c r="J95"/>
  <c r="K94"/>
  <c r="L94" s="1"/>
  <c r="N94" s="1"/>
  <c r="J94"/>
  <c r="K93"/>
  <c r="L93" s="1"/>
  <c r="N93" s="1"/>
  <c r="J93"/>
  <c r="K92"/>
  <c r="L92" s="1"/>
  <c r="N92" s="1"/>
  <c r="J92"/>
  <c r="K91"/>
  <c r="L91" s="1"/>
  <c r="N91" s="1"/>
  <c r="J91"/>
  <c r="K90"/>
  <c r="J90"/>
  <c r="L90" s="1"/>
  <c r="N90" s="1"/>
  <c r="K89"/>
  <c r="J89"/>
  <c r="L89" s="1"/>
  <c r="N89" s="1"/>
  <c r="K88"/>
  <c r="J88"/>
  <c r="L88" s="1"/>
  <c r="N88" s="1"/>
  <c r="K87"/>
  <c r="J87"/>
  <c r="L87" s="1"/>
  <c r="N87" s="1"/>
  <c r="K86"/>
  <c r="J86"/>
  <c r="L86" s="1"/>
  <c r="N86" s="1"/>
  <c r="K85"/>
  <c r="J85"/>
  <c r="L85" s="1"/>
  <c r="N85" s="1"/>
  <c r="K84"/>
  <c r="J84"/>
  <c r="L84" s="1"/>
  <c r="N84" s="1"/>
  <c r="K83"/>
  <c r="J83"/>
  <c r="L83" s="1"/>
  <c r="N83" s="1"/>
  <c r="K82"/>
  <c r="J82"/>
  <c r="L82" s="1"/>
  <c r="N82" s="1"/>
  <c r="K81"/>
  <c r="J81"/>
  <c r="L81" s="1"/>
  <c r="N81" s="1"/>
  <c r="K80"/>
  <c r="J80"/>
  <c r="L80" s="1"/>
  <c r="N80" s="1"/>
  <c r="K79"/>
  <c r="J79"/>
  <c r="L79" s="1"/>
  <c r="N79" s="1"/>
  <c r="K78"/>
  <c r="J78"/>
  <c r="L78" s="1"/>
  <c r="N78" s="1"/>
  <c r="K77"/>
  <c r="J77"/>
  <c r="L77" s="1"/>
  <c r="N77" s="1"/>
  <c r="K76"/>
  <c r="J76"/>
  <c r="L76" s="1"/>
  <c r="N76" s="1"/>
  <c r="K75"/>
  <c r="J75"/>
  <c r="L75" s="1"/>
  <c r="N75" s="1"/>
  <c r="K74"/>
  <c r="J74"/>
  <c r="L74" s="1"/>
  <c r="N74" s="1"/>
  <c r="K73"/>
  <c r="J73"/>
  <c r="L73" s="1"/>
  <c r="N73" s="1"/>
  <c r="K72"/>
  <c r="J72"/>
  <c r="L72" s="1"/>
  <c r="N72" s="1"/>
  <c r="K71"/>
  <c r="J71"/>
  <c r="L71" s="1"/>
  <c r="N71" s="1"/>
  <c r="K70"/>
  <c r="J70"/>
  <c r="L70" s="1"/>
  <c r="N70" s="1"/>
  <c r="K69"/>
  <c r="J69"/>
  <c r="L69" s="1"/>
  <c r="N69" s="1"/>
  <c r="K68"/>
  <c r="J68"/>
  <c r="L68" s="1"/>
  <c r="N68" s="1"/>
  <c r="K67"/>
  <c r="J67"/>
  <c r="L67" s="1"/>
  <c r="N67" s="1"/>
  <c r="K66"/>
  <c r="J66"/>
  <c r="L66" s="1"/>
  <c r="N66" s="1"/>
  <c r="K65"/>
  <c r="J65"/>
  <c r="L65" s="1"/>
  <c r="N65" s="1"/>
  <c r="K64"/>
  <c r="J64"/>
  <c r="L64" s="1"/>
  <c r="N64" s="1"/>
  <c r="K63"/>
  <c r="J63"/>
  <c r="L63" s="1"/>
  <c r="N63" s="1"/>
  <c r="K62"/>
  <c r="J62"/>
  <c r="L62" s="1"/>
  <c r="N62" s="1"/>
  <c r="K61"/>
  <c r="J61"/>
  <c r="L61" s="1"/>
  <c r="N61" s="1"/>
  <c r="K60"/>
  <c r="J60"/>
  <c r="L60" s="1"/>
  <c r="N60" s="1"/>
  <c r="K59"/>
  <c r="J59"/>
  <c r="L59" s="1"/>
  <c r="N59" s="1"/>
  <c r="K58"/>
  <c r="J58"/>
  <c r="L58" s="1"/>
  <c r="N58" s="1"/>
  <c r="K57"/>
  <c r="J57"/>
  <c r="L57" s="1"/>
  <c r="N57" s="1"/>
  <c r="K56"/>
  <c r="J56"/>
  <c r="L56" s="1"/>
  <c r="N56" s="1"/>
  <c r="K55"/>
  <c r="J55"/>
  <c r="L55" s="1"/>
  <c r="N55" s="1"/>
  <c r="K54"/>
  <c r="J54"/>
  <c r="L54" s="1"/>
  <c r="N54" s="1"/>
  <c r="K53"/>
  <c r="J53"/>
  <c r="L53" s="1"/>
  <c r="N53" s="1"/>
  <c r="K52"/>
  <c r="J52"/>
  <c r="L52" s="1"/>
  <c r="N52" s="1"/>
  <c r="K51"/>
  <c r="J51"/>
  <c r="L51" s="1"/>
  <c r="N51" s="1"/>
  <c r="K50"/>
  <c r="J50"/>
  <c r="L50" s="1"/>
  <c r="N50" s="1"/>
  <c r="K49"/>
  <c r="J49"/>
  <c r="L49" s="1"/>
  <c r="N49" s="1"/>
  <c r="K48"/>
  <c r="J48"/>
  <c r="L48" s="1"/>
  <c r="N48" s="1"/>
  <c r="K47"/>
  <c r="J47"/>
  <c r="L47" s="1"/>
  <c r="N47" s="1"/>
  <c r="K46"/>
  <c r="J46"/>
  <c r="L46" s="1"/>
  <c r="N46" s="1"/>
  <c r="K45"/>
  <c r="J45"/>
  <c r="L45" s="1"/>
  <c r="N45" s="1"/>
  <c r="K44"/>
  <c r="J44"/>
  <c r="L44" s="1"/>
  <c r="N44" s="1"/>
  <c r="K43"/>
  <c r="J43"/>
  <c r="L43" s="1"/>
  <c r="N43" s="1"/>
  <c r="K42"/>
  <c r="J42"/>
  <c r="L42" s="1"/>
  <c r="N42" s="1"/>
  <c r="K41"/>
  <c r="J41"/>
  <c r="L41" s="1"/>
  <c r="N41" s="1"/>
  <c r="K40"/>
  <c r="J40"/>
  <c r="L40" s="1"/>
  <c r="N40" s="1"/>
  <c r="K39"/>
  <c r="J39"/>
  <c r="L39" s="1"/>
  <c r="N39" s="1"/>
  <c r="K38"/>
  <c r="J38"/>
  <c r="L38" s="1"/>
  <c r="N38" s="1"/>
  <c r="K37"/>
  <c r="J37"/>
  <c r="L37" s="1"/>
  <c r="N37" s="1"/>
  <c r="L32"/>
  <c r="N32" s="1"/>
  <c r="K32"/>
  <c r="J32"/>
  <c r="L31"/>
  <c r="N31" s="1"/>
  <c r="K31"/>
  <c r="J31"/>
  <c r="L30"/>
  <c r="N30" s="1"/>
  <c r="K30"/>
  <c r="J30"/>
  <c r="L29"/>
  <c r="N29" s="1"/>
  <c r="K29"/>
  <c r="J29"/>
  <c r="L28"/>
  <c r="N28" s="1"/>
  <c r="K28"/>
  <c r="J28"/>
  <c r="L27"/>
  <c r="N27" s="1"/>
  <c r="K27"/>
  <c r="J27"/>
  <c r="L26"/>
  <c r="N26" s="1"/>
  <c r="K26"/>
  <c r="J26"/>
  <c r="L25"/>
  <c r="N25" s="1"/>
  <c r="K25"/>
  <c r="J25"/>
  <c r="L24"/>
  <c r="N24" s="1"/>
  <c r="K24"/>
  <c r="J24"/>
  <c r="L23"/>
  <c r="N23" s="1"/>
  <c r="K23"/>
  <c r="J23"/>
  <c r="L22"/>
  <c r="N22" s="1"/>
  <c r="K22"/>
  <c r="J22"/>
  <c r="L21"/>
  <c r="N21" s="1"/>
  <c r="K21"/>
  <c r="J21"/>
  <c r="L20"/>
  <c r="N20" s="1"/>
  <c r="K20"/>
  <c r="J20"/>
  <c r="L19"/>
  <c r="N19" s="1"/>
  <c r="K19"/>
  <c r="J19"/>
  <c r="L18"/>
  <c r="N18" s="1"/>
  <c r="K18"/>
  <c r="J18"/>
  <c r="L17"/>
  <c r="N17" s="1"/>
  <c r="K17"/>
  <c r="J17"/>
  <c r="L16"/>
  <c r="N16" s="1"/>
  <c r="K16"/>
  <c r="J16"/>
  <c r="L15"/>
  <c r="N15" s="1"/>
  <c r="K15"/>
  <c r="J15"/>
  <c r="L14"/>
  <c r="N14" s="1"/>
  <c r="K14"/>
  <c r="J14"/>
  <c r="L13"/>
  <c r="N13" s="1"/>
  <c r="K13"/>
  <c r="J13"/>
  <c r="L12"/>
  <c r="N12" s="1"/>
  <c r="K12"/>
  <c r="J12"/>
  <c r="L11"/>
  <c r="N11" s="1"/>
  <c r="K11"/>
  <c r="J11"/>
  <c r="L10"/>
  <c r="N10" s="1"/>
  <c r="K10"/>
  <c r="J10"/>
  <c r="L9"/>
  <c r="N9" s="1"/>
  <c r="K9"/>
  <c r="J9"/>
  <c r="J56" i="11"/>
  <c r="L56" s="1"/>
  <c r="I56"/>
  <c r="K56" s="1"/>
  <c r="J55"/>
  <c r="L55" s="1"/>
  <c r="M54" s="1"/>
  <c r="I55"/>
  <c r="K55" s="1"/>
  <c r="J54"/>
  <c r="L54" s="1"/>
  <c r="I54"/>
  <c r="J53"/>
  <c r="L53" s="1"/>
  <c r="I53"/>
  <c r="J52"/>
  <c r="L52" s="1"/>
  <c r="I52"/>
  <c r="J51"/>
  <c r="L51" s="1"/>
  <c r="I51"/>
  <c r="J50"/>
  <c r="L50" s="1"/>
  <c r="I50"/>
  <c r="J49"/>
  <c r="L49" s="1"/>
  <c r="I49"/>
  <c r="J48"/>
  <c r="L48" s="1"/>
  <c r="I48"/>
  <c r="J47"/>
  <c r="L47" s="1"/>
  <c r="I47"/>
  <c r="J46"/>
  <c r="L46" s="1"/>
  <c r="I46"/>
  <c r="K46" s="1"/>
  <c r="J45"/>
  <c r="L45" s="1"/>
  <c r="I45"/>
  <c r="K45" s="1"/>
  <c r="J44"/>
  <c r="L44" s="1"/>
  <c r="I44"/>
  <c r="K44" s="1"/>
  <c r="J43"/>
  <c r="L43" s="1"/>
  <c r="I43"/>
  <c r="K43" s="1"/>
  <c r="J42"/>
  <c r="L42" s="1"/>
  <c r="I42"/>
  <c r="L41"/>
  <c r="J41"/>
  <c r="I41"/>
  <c r="J40"/>
  <c r="L40" s="1"/>
  <c r="I40"/>
  <c r="J39"/>
  <c r="L39" s="1"/>
  <c r="I39"/>
  <c r="J38"/>
  <c r="L38" s="1"/>
  <c r="I38"/>
  <c r="J37"/>
  <c r="L37" s="1"/>
  <c r="I37"/>
  <c r="J36"/>
  <c r="L36" s="1"/>
  <c r="I36"/>
  <c r="J35"/>
  <c r="L35" s="1"/>
  <c r="I35"/>
  <c r="K35" s="1"/>
  <c r="J34"/>
  <c r="L34" s="1"/>
  <c r="I34"/>
  <c r="J33"/>
  <c r="L33" s="1"/>
  <c r="I33"/>
  <c r="K33" s="1"/>
  <c r="L32"/>
  <c r="J32"/>
  <c r="I32"/>
  <c r="L31"/>
  <c r="J31"/>
  <c r="I31"/>
  <c r="J30"/>
  <c r="L30" s="1"/>
  <c r="I30"/>
  <c r="K30" s="1"/>
  <c r="L29"/>
  <c r="J29"/>
  <c r="I29"/>
  <c r="L28"/>
  <c r="J28"/>
  <c r="I28"/>
  <c r="J27"/>
  <c r="L27" s="1"/>
  <c r="I27"/>
  <c r="K27" s="1"/>
  <c r="J26"/>
  <c r="L26" s="1"/>
  <c r="I26"/>
  <c r="J25"/>
  <c r="L25" s="1"/>
  <c r="I25"/>
  <c r="K25" s="1"/>
  <c r="K24"/>
  <c r="J24"/>
  <c r="L24" s="1"/>
  <c r="I24"/>
  <c r="K23"/>
  <c r="J23"/>
  <c r="L23" s="1"/>
  <c r="I23"/>
  <c r="J22"/>
  <c r="L22" s="1"/>
  <c r="I22"/>
  <c r="K22" s="1"/>
  <c r="J21"/>
  <c r="L21" s="1"/>
  <c r="I21"/>
  <c r="J20"/>
  <c r="L20" s="1"/>
  <c r="I20"/>
  <c r="K20" s="1"/>
  <c r="J19"/>
  <c r="L19" s="1"/>
  <c r="I19"/>
  <c r="J18"/>
  <c r="L18" s="1"/>
  <c r="I18"/>
  <c r="J17"/>
  <c r="L17" s="1"/>
  <c r="I17"/>
  <c r="J16"/>
  <c r="L16" s="1"/>
  <c r="I16"/>
  <c r="J15"/>
  <c r="L15" s="1"/>
  <c r="I15"/>
  <c r="J14"/>
  <c r="L14" s="1"/>
  <c r="I14"/>
  <c r="J13"/>
  <c r="L13" s="1"/>
  <c r="M12" s="1"/>
  <c r="I13"/>
  <c r="J12"/>
  <c r="I12"/>
  <c r="M42" l="1"/>
  <c r="K42"/>
  <c r="K29"/>
  <c r="K32"/>
  <c r="K36"/>
  <c r="K47"/>
  <c r="K12"/>
  <c r="K16"/>
  <c r="K34"/>
  <c r="K17"/>
  <c r="K19"/>
  <c r="K21"/>
  <c r="K31"/>
  <c r="K37"/>
  <c r="K39"/>
  <c r="K48"/>
  <c r="K50"/>
  <c r="K52"/>
  <c r="K14"/>
  <c r="M18"/>
  <c r="M30"/>
  <c r="M15"/>
  <c r="K15"/>
  <c r="M36"/>
  <c r="K40"/>
  <c r="M51"/>
  <c r="K53"/>
  <c r="K26"/>
  <c r="K28"/>
  <c r="M39"/>
  <c r="K41"/>
  <c r="K49"/>
  <c r="K51"/>
  <c r="K54"/>
  <c r="K13"/>
  <c r="K18"/>
  <c r="M33"/>
  <c r="K38"/>
  <c r="M27"/>
  <c r="M21"/>
  <c r="M24"/>
  <c r="M45"/>
  <c r="M48"/>
  <c r="J96" i="17" l="1"/>
  <c r="J97"/>
  <c r="J95"/>
  <c r="G52"/>
  <c r="G48"/>
  <c r="G44"/>
  <c r="G40"/>
  <c r="G36"/>
  <c r="G32"/>
  <c r="G28"/>
  <c r="G24"/>
  <c r="G20"/>
  <c r="G16"/>
  <c r="G98"/>
  <c r="F98"/>
  <c r="E98"/>
  <c r="G94"/>
  <c r="F94"/>
  <c r="E94"/>
  <c r="J93"/>
  <c r="J92"/>
  <c r="J91"/>
  <c r="G90"/>
  <c r="F90"/>
  <c r="E90"/>
  <c r="J89"/>
  <c r="J88"/>
  <c r="J87"/>
  <c r="G86"/>
  <c r="F86"/>
  <c r="E86"/>
  <c r="J85"/>
  <c r="J84"/>
  <c r="J83"/>
  <c r="G82"/>
  <c r="F82"/>
  <c r="E82"/>
  <c r="J81"/>
  <c r="J80"/>
  <c r="J79"/>
  <c r="G78"/>
  <c r="F78"/>
  <c r="E78"/>
  <c r="J77"/>
  <c r="J76"/>
  <c r="J75"/>
  <c r="G74"/>
  <c r="F74"/>
  <c r="E74"/>
  <c r="J73"/>
  <c r="J72"/>
  <c r="J71"/>
  <c r="G70"/>
  <c r="F70"/>
  <c r="E70"/>
  <c r="J69"/>
  <c r="J68"/>
  <c r="J67"/>
  <c r="G66"/>
  <c r="F66"/>
  <c r="E66"/>
  <c r="J65"/>
  <c r="J64"/>
  <c r="J63"/>
  <c r="G62"/>
  <c r="F62"/>
  <c r="E62"/>
  <c r="J61"/>
  <c r="J60"/>
  <c r="J59"/>
  <c r="J62" l="1"/>
  <c r="J86"/>
  <c r="J94"/>
  <c r="J90"/>
  <c r="J82"/>
  <c r="J98"/>
  <c r="J74"/>
  <c r="J70"/>
  <c r="J66"/>
  <c r="J78"/>
  <c r="R39" i="26" l="1"/>
  <c r="Q39"/>
  <c r="P39"/>
  <c r="R38"/>
  <c r="Q38"/>
  <c r="P38"/>
  <c r="R37"/>
  <c r="Q37"/>
  <c r="P37"/>
  <c r="R35"/>
  <c r="Q35"/>
  <c r="P35"/>
  <c r="R34"/>
  <c r="Q34"/>
  <c r="P34"/>
  <c r="R33"/>
  <c r="Q33"/>
  <c r="P33"/>
  <c r="R31"/>
  <c r="Q31"/>
  <c r="P31"/>
  <c r="R30"/>
  <c r="Q30"/>
  <c r="P30"/>
  <c r="R29"/>
  <c r="Q29"/>
  <c r="P29"/>
  <c r="R27"/>
  <c r="Q27"/>
  <c r="P27"/>
  <c r="R26"/>
  <c r="Q26"/>
  <c r="P26"/>
  <c r="R25"/>
  <c r="Q25"/>
  <c r="P25"/>
  <c r="R23"/>
  <c r="Q23"/>
  <c r="P23"/>
  <c r="R22"/>
  <c r="Q22"/>
  <c r="P22"/>
  <c r="R21"/>
  <c r="Q21"/>
  <c r="P21"/>
  <c r="R19"/>
  <c r="Q19"/>
  <c r="P19"/>
  <c r="R18"/>
  <c r="Q18"/>
  <c r="P18"/>
  <c r="R17"/>
  <c r="Q17"/>
  <c r="P17"/>
  <c r="P14"/>
  <c r="Q14"/>
  <c r="R14"/>
  <c r="P15"/>
  <c r="Q15"/>
  <c r="R15"/>
  <c r="R13"/>
  <c r="Q13"/>
  <c r="P13"/>
  <c r="N39"/>
  <c r="N38"/>
  <c r="N37"/>
  <c r="N35"/>
  <c r="N34"/>
  <c r="N33"/>
  <c r="N31"/>
  <c r="N30"/>
  <c r="N29"/>
  <c r="I15" i="28" l="1"/>
  <c r="J15" s="1"/>
  <c r="O44"/>
  <c r="P44" s="1"/>
  <c r="O45"/>
  <c r="P45" s="1"/>
  <c r="O46"/>
  <c r="P46" s="1"/>
  <c r="O47"/>
  <c r="P47" s="1"/>
  <c r="O48"/>
  <c r="P48" s="1"/>
  <c r="O43"/>
  <c r="P43" s="1"/>
  <c r="P54"/>
  <c r="K53"/>
  <c r="J48"/>
  <c r="J50" s="1"/>
  <c r="G48"/>
  <c r="F48"/>
  <c r="J47"/>
  <c r="G47"/>
  <c r="G46"/>
  <c r="F46"/>
  <c r="G45"/>
  <c r="F45"/>
  <c r="G44"/>
  <c r="J44" s="1"/>
  <c r="G43"/>
  <c r="F43"/>
  <c r="J42"/>
  <c r="G42"/>
  <c r="F42"/>
  <c r="J41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K30"/>
  <c r="G30"/>
  <c r="F30"/>
  <c r="G29"/>
  <c r="F29"/>
  <c r="G28"/>
  <c r="F28"/>
  <c r="G27"/>
  <c r="F27"/>
  <c r="G26"/>
  <c r="F26"/>
  <c r="G25"/>
  <c r="F25"/>
  <c r="G24"/>
  <c r="F24"/>
  <c r="N27" i="26"/>
  <c r="N26"/>
  <c r="N25"/>
  <c r="N23"/>
  <c r="N22"/>
  <c r="N21"/>
  <c r="N19"/>
  <c r="N18"/>
  <c r="N17"/>
  <c r="N15"/>
  <c r="N14"/>
  <c r="N13"/>
  <c r="J25" i="28" l="1"/>
  <c r="K25" s="1"/>
  <c r="J34"/>
  <c r="J24"/>
  <c r="K24" s="1"/>
  <c r="J31"/>
  <c r="J33"/>
  <c r="K48"/>
  <c r="J27"/>
  <c r="K27" s="1"/>
  <c r="J29"/>
  <c r="K29" s="1"/>
  <c r="J32"/>
  <c r="J36"/>
  <c r="J28"/>
  <c r="K28" s="1"/>
  <c r="G49"/>
  <c r="G50" s="1"/>
  <c r="E24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J37"/>
  <c r="J39"/>
  <c r="F52" i="17" l="1"/>
  <c r="J52" s="1"/>
  <c r="K98" s="1"/>
  <c r="E52"/>
  <c r="F48"/>
  <c r="E48"/>
  <c r="F44"/>
  <c r="E44"/>
  <c r="F40"/>
  <c r="E40"/>
  <c r="F36"/>
  <c r="E36"/>
  <c r="F32"/>
  <c r="E32"/>
  <c r="F28"/>
  <c r="E28"/>
  <c r="F24"/>
  <c r="E24"/>
  <c r="F20"/>
  <c r="E20"/>
  <c r="F16"/>
  <c r="E16"/>
  <c r="J51"/>
  <c r="J50"/>
  <c r="J49"/>
  <c r="J47"/>
  <c r="J46"/>
  <c r="J45"/>
  <c r="J43"/>
  <c r="J42"/>
  <c r="J41"/>
  <c r="J39"/>
  <c r="J38"/>
  <c r="J37"/>
  <c r="J35"/>
  <c r="J34"/>
  <c r="J33"/>
  <c r="J31"/>
  <c r="J30"/>
  <c r="J29"/>
  <c r="J27"/>
  <c r="J26"/>
  <c r="J25"/>
  <c r="J23"/>
  <c r="J22"/>
  <c r="J21"/>
  <c r="J19"/>
  <c r="J18"/>
  <c r="J17"/>
  <c r="J15"/>
  <c r="J14"/>
  <c r="J13"/>
  <c r="J44" l="1"/>
  <c r="K90" s="1"/>
  <c r="J36"/>
  <c r="K82" s="1"/>
  <c r="J40"/>
  <c r="K86" s="1"/>
  <c r="J48"/>
  <c r="K94" s="1"/>
  <c r="J32"/>
  <c r="K78" s="1"/>
  <c r="J28"/>
  <c r="K74" s="1"/>
  <c r="J16"/>
  <c r="K62" s="1"/>
  <c r="J20"/>
  <c r="K66" s="1"/>
  <c r="J24"/>
  <c r="K70" s="1"/>
</calcChain>
</file>

<file path=xl/comments1.xml><?xml version="1.0" encoding="utf-8"?>
<comments xmlns="http://schemas.openxmlformats.org/spreadsheetml/2006/main">
  <authors>
    <author>Tulkun</author>
  </authors>
  <commentList>
    <comment ref="H23" authorId="0">
      <text>
        <r>
          <rPr>
            <b/>
            <sz val="9"/>
            <color indexed="81"/>
            <rFont val="Tahoma"/>
            <family val="2"/>
            <charset val="204"/>
          </rPr>
          <t>Tulkun:</t>
        </r>
        <r>
          <rPr>
            <sz val="9"/>
            <color indexed="81"/>
            <rFont val="Tahoma"/>
            <family val="2"/>
            <charset val="204"/>
          </rPr>
          <t xml:space="preserve">
0.36?</t>
        </r>
      </text>
    </comment>
    <comment ref="H32" authorId="0">
      <text>
        <r>
          <rPr>
            <b/>
            <sz val="9"/>
            <color indexed="81"/>
            <rFont val="Tahoma"/>
            <family val="2"/>
            <charset val="204"/>
          </rPr>
          <t>Tulkun:</t>
        </r>
        <r>
          <rPr>
            <sz val="9"/>
            <color indexed="81"/>
            <rFont val="Tahoma"/>
            <family val="2"/>
            <charset val="204"/>
          </rPr>
          <t xml:space="preserve">
0.17</t>
        </r>
      </text>
    </comment>
  </commentList>
</comments>
</file>

<file path=xl/comments2.xml><?xml version="1.0" encoding="utf-8"?>
<comments xmlns="http://schemas.openxmlformats.org/spreadsheetml/2006/main">
  <authors>
    <author>Tulkun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Tulkun:not right</t>
        </r>
      </text>
    </comment>
    <comment ref="J7" authorId="0">
      <text>
        <r>
          <rPr>
            <b/>
            <sz val="9"/>
            <color indexed="81"/>
            <rFont val="Tahoma"/>
            <charset val="1"/>
          </rPr>
          <t>Tulkun:</t>
        </r>
        <r>
          <rPr>
            <sz val="9"/>
            <color indexed="81"/>
            <rFont val="Tahoma"/>
            <charset val="1"/>
          </rPr>
          <t xml:space="preserve">
83.7????</t>
        </r>
      </text>
    </comment>
  </commentList>
</comments>
</file>

<file path=xl/comments3.xml><?xml version="1.0" encoding="utf-8"?>
<comments xmlns="http://schemas.openxmlformats.org/spreadsheetml/2006/main">
  <authors>
    <author>Tulkun</author>
  </authors>
  <commentList>
    <comment ref="T26" authorId="0">
      <text>
        <r>
          <rPr>
            <b/>
            <sz val="9"/>
            <color indexed="81"/>
            <rFont val="Tahoma"/>
            <family val="2"/>
            <charset val="204"/>
          </rPr>
          <t>Tulkun:</t>
        </r>
        <r>
          <rPr>
            <sz val="9"/>
            <color indexed="81"/>
            <rFont val="Tahoma"/>
            <family val="2"/>
            <charset val="204"/>
          </rPr>
          <t xml:space="preserve">
21.19</t>
        </r>
      </text>
    </comment>
    <comment ref="T71" authorId="0">
      <text>
        <r>
          <rPr>
            <b/>
            <sz val="9"/>
            <color indexed="81"/>
            <rFont val="Tahoma"/>
            <family val="2"/>
            <charset val="204"/>
          </rPr>
          <t>Tulkun:</t>
        </r>
        <r>
          <rPr>
            <sz val="9"/>
            <color indexed="81"/>
            <rFont val="Tahoma"/>
            <family val="2"/>
            <charset val="204"/>
          </rPr>
          <t xml:space="preserve">
22.55</t>
        </r>
      </text>
    </comment>
  </commentList>
</comments>
</file>

<file path=xl/sharedStrings.xml><?xml version="1.0" encoding="utf-8"?>
<sst xmlns="http://schemas.openxmlformats.org/spreadsheetml/2006/main" count="3215" uniqueCount="920">
  <si>
    <t>%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</si>
  <si>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</si>
  <si>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</si>
  <si>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</si>
  <si>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</si>
  <si>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</si>
  <si>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</si>
  <si>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</si>
  <si>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</si>
  <si>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</si>
  <si>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</si>
  <si>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>(12)</t>
  </si>
  <si>
    <t>(13)</t>
  </si>
  <si>
    <t>Дата</t>
  </si>
  <si>
    <t>dS/m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</si>
  <si>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</si>
  <si>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</si>
  <si>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</si>
  <si>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</si>
  <si>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</si>
  <si>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</si>
  <si>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</si>
  <si>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</si>
  <si>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</si>
  <si>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</si>
  <si>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</si>
  <si>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EC, dS/m</t>
  </si>
  <si>
    <t>(8)</t>
  </si>
  <si>
    <t>(14)</t>
  </si>
  <si>
    <t>(15)</t>
  </si>
  <si>
    <t>(16)</t>
  </si>
  <si>
    <t>(17)</t>
  </si>
  <si>
    <t>Код участка ID</t>
  </si>
  <si>
    <t>No варианта</t>
  </si>
  <si>
    <t>(18)</t>
  </si>
  <si>
    <t>(19)</t>
  </si>
  <si>
    <t>(20)</t>
  </si>
  <si>
    <t>0-15</t>
  </si>
  <si>
    <t>N</t>
  </si>
  <si>
    <t>P</t>
  </si>
  <si>
    <t>K</t>
  </si>
  <si>
    <t>cm</t>
  </si>
  <si>
    <t>&gt;0,25</t>
  </si>
  <si>
    <t>0,25-0,1</t>
  </si>
  <si>
    <t>0,1-0,05</t>
  </si>
  <si>
    <t>0,05-0,01</t>
  </si>
  <si>
    <t>0,01-0,005</t>
  </si>
  <si>
    <t>0,005-0,001</t>
  </si>
  <si>
    <t>&lt;0,001</t>
  </si>
  <si>
    <t>1</t>
  </si>
  <si>
    <t>2</t>
  </si>
  <si>
    <t>3</t>
  </si>
  <si>
    <t>4</t>
  </si>
  <si>
    <t>16</t>
  </si>
  <si>
    <t>17</t>
  </si>
  <si>
    <t>18</t>
  </si>
  <si>
    <t>Даты определения влажности</t>
  </si>
  <si>
    <t>Средняя влажность почвы</t>
  </si>
  <si>
    <t>Повторность</t>
  </si>
  <si>
    <t>0-10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</si>
  <si>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</si>
  <si>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</si>
  <si>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</si>
  <si>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</si>
  <si>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</si>
  <si>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</si>
  <si>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</si>
  <si>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</si>
  <si>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Date</t>
  </si>
  <si>
    <t>14/09/2015</t>
  </si>
  <si>
    <t>15/09/2015</t>
  </si>
  <si>
    <t>16/09/2015</t>
  </si>
  <si>
    <t>20/09/2015</t>
  </si>
  <si>
    <t>за 5 дней</t>
  </si>
  <si>
    <t>0-10 см</t>
  </si>
  <si>
    <t>ср. в слое 0-10 см</t>
  </si>
  <si>
    <t>25-35</t>
  </si>
  <si>
    <t>100-110</t>
  </si>
  <si>
    <t>min</t>
  </si>
  <si>
    <t>mm</t>
  </si>
  <si>
    <t>10-20 см</t>
  </si>
  <si>
    <t>20-30 cм</t>
  </si>
  <si>
    <t>30-40 cм</t>
  </si>
  <si>
    <t>40-50 cм</t>
  </si>
  <si>
    <t>50-60 cм</t>
  </si>
  <si>
    <t>60-70 cм</t>
  </si>
  <si>
    <t>70-80 cм</t>
  </si>
  <si>
    <t>80-90 cм</t>
  </si>
  <si>
    <t>90-100 cм</t>
  </si>
  <si>
    <t>Site ID</t>
  </si>
  <si>
    <t>Treatment No</t>
  </si>
  <si>
    <t>Replication</t>
  </si>
  <si>
    <t xml:space="preserve">Farming practices </t>
  </si>
  <si>
    <t>Farming practices</t>
  </si>
  <si>
    <t>implements</t>
  </si>
  <si>
    <t>Additional information (Rate of sowing, depth of tillage, irrigation rates, fertilization rates etc.)</t>
  </si>
  <si>
    <t>Tillage</t>
  </si>
  <si>
    <t>Harrowing</t>
  </si>
  <si>
    <t>T28 tractor, harrow ZBS-1</t>
  </si>
  <si>
    <t>depth of harrowing 4-6 cm</t>
  </si>
  <si>
    <t>Grinding</t>
  </si>
  <si>
    <t>Planting</t>
  </si>
  <si>
    <t>T28 tractor, furrower</t>
  </si>
  <si>
    <t>Fertilization</t>
  </si>
  <si>
    <t>Weeding</t>
  </si>
  <si>
    <t>Bio-method</t>
  </si>
  <si>
    <t>Pollination</t>
  </si>
  <si>
    <t>irrigation</t>
  </si>
  <si>
    <t>defoliation</t>
  </si>
  <si>
    <t>Harvesting</t>
  </si>
  <si>
    <t>Replication No</t>
  </si>
  <si>
    <t>Soil fertility</t>
  </si>
  <si>
    <t>Treatments No</t>
  </si>
  <si>
    <t>Sampling Periods (date)</t>
  </si>
  <si>
    <t>Sample Depth *, cm</t>
  </si>
  <si>
    <t>Content of nutrient elements</t>
  </si>
  <si>
    <t>Organic matter content</t>
  </si>
  <si>
    <t>Volume of rings</t>
  </si>
  <si>
    <r>
      <t>Vp=50cm</t>
    </r>
    <r>
      <rPr>
        <vertAlign val="superscript"/>
        <sz val="10"/>
        <rFont val="Arial"/>
        <family val="2"/>
      </rPr>
      <t>3</t>
    </r>
  </si>
  <si>
    <t>15-30</t>
  </si>
  <si>
    <t>30-60</t>
  </si>
  <si>
    <t>60-90</t>
  </si>
  <si>
    <t>Determination of infiltration rate</t>
  </si>
  <si>
    <t>infiltration rate, mm/hrs</t>
  </si>
  <si>
    <t>Volume of infiltrated water per 6 hours, mm</t>
  </si>
  <si>
    <t>Infiltration rate, mm/hour</t>
  </si>
  <si>
    <t>per 1 hour</t>
  </si>
  <si>
    <t>2 hrs</t>
  </si>
  <si>
    <t>3 hrs</t>
  </si>
  <si>
    <t>4 hrs</t>
  </si>
  <si>
    <t>5 hrs</t>
  </si>
  <si>
    <t>6 hrs</t>
  </si>
  <si>
    <t xml:space="preserve">Sampling Periods </t>
  </si>
  <si>
    <t>Sample Depth *</t>
  </si>
  <si>
    <t>Mechanical texture</t>
  </si>
  <si>
    <t>Sum of physical clay particles</t>
  </si>
  <si>
    <t>Soil Texture (Kachinskyi method)</t>
  </si>
  <si>
    <t>Soil Texture (method USDA)</t>
  </si>
  <si>
    <t>Distribution of soil particles</t>
  </si>
  <si>
    <t>Chimbay</t>
  </si>
  <si>
    <t>Infiltration rate</t>
  </si>
  <si>
    <t>mm/min</t>
  </si>
  <si>
    <t>CRPDS Project:</t>
  </si>
  <si>
    <t xml:space="preserve">Project Component:       </t>
  </si>
  <si>
    <t>Country: Uzbekistan</t>
  </si>
  <si>
    <t>Province: Republic of Karakalpakstan</t>
  </si>
  <si>
    <t>District: Chimbay</t>
  </si>
  <si>
    <t>Test farm: Karakalpak Crop Husbandry RI</t>
  </si>
  <si>
    <t>Furrowing</t>
  </si>
  <si>
    <t>MTZ-80 tractor, plough PY-3-35</t>
  </si>
  <si>
    <t>depth of tillage 25 cm (0.6 ha)</t>
  </si>
  <si>
    <t>Land leveling</t>
  </si>
  <si>
    <t>T28 tractor, longspan blade land leveller</t>
  </si>
  <si>
    <t xml:space="preserve">T28 tractor </t>
  </si>
  <si>
    <t>Mannual</t>
  </si>
  <si>
    <t>200 kg/ha sowing rate, 4 cm depth, wheat variety Yaksart and Krasnodar99</t>
  </si>
  <si>
    <t>depth 18-20 cm (0.6 ha)</t>
  </si>
  <si>
    <t>Soil profile description form</t>
  </si>
  <si>
    <t>Chimbay District</t>
  </si>
  <si>
    <t>Karakalpak Crop Husbandry RI</t>
  </si>
  <si>
    <t>Horizon</t>
  </si>
  <si>
    <t>Depth (cm)</t>
  </si>
  <si>
    <t>Consistency</t>
  </si>
  <si>
    <t>Structure</t>
  </si>
  <si>
    <t>Texture</t>
  </si>
  <si>
    <t>Colour</t>
  </si>
  <si>
    <t>% Coarse Fargments</t>
  </si>
  <si>
    <t>ph</t>
  </si>
  <si>
    <t>Boundary</t>
  </si>
  <si>
    <t>Roots</t>
  </si>
  <si>
    <t>Special Features</t>
  </si>
  <si>
    <t>0-17</t>
  </si>
  <si>
    <t>Fresh, loose (knife 8 cm),  soft (dry), very friable (moist), non-sticky, non-plastic</t>
  </si>
  <si>
    <t>granular</t>
  </si>
  <si>
    <t>Loamy sand</t>
  </si>
  <si>
    <t>light gray (pale brown) 10 YR 6/3</t>
  </si>
  <si>
    <t>Clear wavy</t>
  </si>
  <si>
    <t>common</t>
  </si>
  <si>
    <t>17-42</t>
  </si>
  <si>
    <t>Moist, slightly hard (dry), friable (moist), dense (knife 4 cm), non sticky, non plastic</t>
  </si>
  <si>
    <t>Blocky (subangular)</t>
  </si>
  <si>
    <t>Sandy loam</t>
  </si>
  <si>
    <t>very pale brown (light yellowish/yellowish brown) 10 YR 6/4-5/4</t>
  </si>
  <si>
    <t>moderate few</t>
  </si>
  <si>
    <t>42-68</t>
  </si>
  <si>
    <t>Moist, slightly hard (dry), friable (moist), dense (4.5 cm knife), slighly sticky, non plastic</t>
  </si>
  <si>
    <t>Blocky (angular)</t>
  </si>
  <si>
    <t>pale brown 10 YR 6/3</t>
  </si>
  <si>
    <t>very few</t>
  </si>
  <si>
    <t>68-91</t>
  </si>
  <si>
    <t>Moist, slightly hard (dry), friable (moist), dense  (knife 4.5-5 cm), non sticky, non-plastic</t>
  </si>
  <si>
    <t>Gradual wavy</t>
  </si>
  <si>
    <t>few</t>
  </si>
  <si>
    <t>91-117</t>
  </si>
  <si>
    <t>Moist, slightly hard (dry), friable (moist), (knife 6.5-7 cm), slighly sticky, non plastic</t>
  </si>
  <si>
    <t>grayish brown 10 YR 5/2</t>
  </si>
  <si>
    <t>non</t>
  </si>
  <si>
    <t>117-150</t>
  </si>
  <si>
    <t>Moist, moderate hard (dry), firm (moist), dense (knife 6-7 cm), slightly sticky, slightly-plastic</t>
  </si>
  <si>
    <t>structureless massive (continuous, unconsilidated mass)</t>
  </si>
  <si>
    <t>Loam</t>
  </si>
  <si>
    <t>yellowish brown 10 YR 5/4</t>
  </si>
  <si>
    <t>Fe inclusions</t>
  </si>
  <si>
    <t>decayed roots</t>
  </si>
  <si>
    <t>0-13</t>
  </si>
  <si>
    <t>13-25</t>
  </si>
  <si>
    <t>35-47</t>
  </si>
  <si>
    <t>47-75</t>
  </si>
  <si>
    <t>75-95</t>
  </si>
  <si>
    <t>95-150</t>
  </si>
  <si>
    <t>% clay (&lt;0.002 mm)</t>
  </si>
  <si>
    <t>% silt (0.002-0.05 mm)</t>
  </si>
  <si>
    <t>% sand (0.05-2.0 mm)</t>
  </si>
  <si>
    <t>light loam</t>
  </si>
  <si>
    <t>sandy loam</t>
  </si>
  <si>
    <t>sand</t>
  </si>
  <si>
    <t>moderate loam</t>
  </si>
  <si>
    <t>Silt loam</t>
  </si>
  <si>
    <t>SANDY LOAM</t>
  </si>
  <si>
    <t>aver in depth 0-13 cm</t>
  </si>
  <si>
    <t>aver in depth 13-25 cm</t>
  </si>
  <si>
    <t>aver in depth 25-35 cm</t>
  </si>
  <si>
    <t>aver in depth 35-47 cm</t>
  </si>
  <si>
    <t>aver in depth 47-75 cm</t>
  </si>
  <si>
    <t>aver in depth 75-95 cm</t>
  </si>
  <si>
    <t>aver in depth 95-150 cm</t>
  </si>
  <si>
    <t>Soil Pit</t>
  </si>
  <si>
    <t>Before initial soil moisture (6 locations)</t>
  </si>
  <si>
    <t>Dates</t>
  </si>
  <si>
    <t>N rep/entry</t>
  </si>
  <si>
    <t>N rep/depth</t>
  </si>
  <si>
    <t>Entry</t>
  </si>
  <si>
    <t>Weighting boxes ##</t>
  </si>
  <si>
    <t>Soil horizon, m</t>
  </si>
  <si>
    <t>weight of wet soil , g</t>
  </si>
  <si>
    <t>weight of dry soil , g</t>
  </si>
  <si>
    <t>Weight of container (boxes), g</t>
  </si>
  <si>
    <t>Weight of water, g</t>
  </si>
  <si>
    <t>Weight of soil, g</t>
  </si>
  <si>
    <t>Soil moisture, g/g</t>
  </si>
  <si>
    <t>Soil bulk density, g/cm3</t>
  </si>
  <si>
    <t>Soil moisture, m3/m3</t>
  </si>
  <si>
    <t>повторность</t>
  </si>
  <si>
    <t>повторность/сорт</t>
  </si>
  <si>
    <t>сорт</t>
  </si>
  <si>
    <t>N0  бюкс</t>
  </si>
  <si>
    <t>Почвеный горизонт</t>
  </si>
  <si>
    <t>Вес влажной почвы, гр</t>
  </si>
  <si>
    <t>Вес сухой почвы, гр</t>
  </si>
  <si>
    <t>Вес бюксы, гр</t>
  </si>
  <si>
    <t>Вес воды, гр</t>
  </si>
  <si>
    <t>Вес почвы, гр</t>
  </si>
  <si>
    <t>Влажность почвы, %</t>
  </si>
  <si>
    <t>плотность почвы, кг/см3</t>
  </si>
  <si>
    <t>объемная влажность почвы, %</t>
  </si>
  <si>
    <t>Объемная влажность почвы, %</t>
  </si>
  <si>
    <t>1T</t>
  </si>
  <si>
    <t>61Т</t>
  </si>
  <si>
    <t>16/09/2016</t>
  </si>
  <si>
    <t>1С</t>
  </si>
  <si>
    <t>40T</t>
  </si>
  <si>
    <t>2T</t>
  </si>
  <si>
    <t>10-20</t>
  </si>
  <si>
    <t>62Т</t>
  </si>
  <si>
    <t>34T</t>
  </si>
  <si>
    <t>3T</t>
  </si>
  <si>
    <t>63Т</t>
  </si>
  <si>
    <t>3С</t>
  </si>
  <si>
    <t>42T</t>
  </si>
  <si>
    <t>4T</t>
  </si>
  <si>
    <t>64Т</t>
  </si>
  <si>
    <t>5T</t>
  </si>
  <si>
    <t>65Т</t>
  </si>
  <si>
    <t>14T</t>
  </si>
  <si>
    <t>6T</t>
  </si>
  <si>
    <t>66Т</t>
  </si>
  <si>
    <t>57T</t>
  </si>
  <si>
    <t>7T</t>
  </si>
  <si>
    <t>67Т</t>
  </si>
  <si>
    <t>7С</t>
  </si>
  <si>
    <t>50T</t>
  </si>
  <si>
    <t>8T</t>
  </si>
  <si>
    <t>68Т</t>
  </si>
  <si>
    <t>23T</t>
  </si>
  <si>
    <t>9T</t>
  </si>
  <si>
    <t>69Т</t>
  </si>
  <si>
    <t>10T</t>
  </si>
  <si>
    <t>15T</t>
  </si>
  <si>
    <t>11T</t>
  </si>
  <si>
    <t>18T</t>
  </si>
  <si>
    <t>12T</t>
  </si>
  <si>
    <t>56T</t>
  </si>
  <si>
    <t>13T</t>
  </si>
  <si>
    <t>4б</t>
  </si>
  <si>
    <t>26T</t>
  </si>
  <si>
    <t>15С</t>
  </si>
  <si>
    <t>45T</t>
  </si>
  <si>
    <t>16T</t>
  </si>
  <si>
    <t>48T</t>
  </si>
  <si>
    <t>17T</t>
  </si>
  <si>
    <t>8б</t>
  </si>
  <si>
    <t>35T</t>
  </si>
  <si>
    <t>19T</t>
  </si>
  <si>
    <t>20T</t>
  </si>
  <si>
    <t>20С</t>
  </si>
  <si>
    <t>21T</t>
  </si>
  <si>
    <t>22T</t>
  </si>
  <si>
    <t>51T</t>
  </si>
  <si>
    <t>44T</t>
  </si>
  <si>
    <t>24T</t>
  </si>
  <si>
    <t>46T</t>
  </si>
  <si>
    <t>25T</t>
  </si>
  <si>
    <t>58T</t>
  </si>
  <si>
    <t>27T</t>
  </si>
  <si>
    <t>39T</t>
  </si>
  <si>
    <t>28T</t>
  </si>
  <si>
    <t>38T</t>
  </si>
  <si>
    <t>29T</t>
  </si>
  <si>
    <t>30T</t>
  </si>
  <si>
    <t>30С</t>
  </si>
  <si>
    <t>31T</t>
  </si>
  <si>
    <t>31С</t>
  </si>
  <si>
    <t>54T</t>
  </si>
  <si>
    <t>32T</t>
  </si>
  <si>
    <t>33T</t>
  </si>
  <si>
    <t>375414</t>
  </si>
  <si>
    <t>35С</t>
  </si>
  <si>
    <t>55T</t>
  </si>
  <si>
    <t>36T</t>
  </si>
  <si>
    <t>37T</t>
  </si>
  <si>
    <t>37С</t>
  </si>
  <si>
    <t>41T</t>
  </si>
  <si>
    <t>59T</t>
  </si>
  <si>
    <t>47T</t>
  </si>
  <si>
    <t>43T</t>
  </si>
  <si>
    <t>М1</t>
  </si>
  <si>
    <t>52T</t>
  </si>
  <si>
    <t>53T</t>
  </si>
  <si>
    <t>224</t>
  </si>
  <si>
    <t>49T</t>
  </si>
  <si>
    <t>54С</t>
  </si>
  <si>
    <t>60T</t>
  </si>
  <si>
    <t>14.09.15</t>
  </si>
  <si>
    <t>15.09.15</t>
  </si>
  <si>
    <t>16.09.15</t>
  </si>
  <si>
    <t>check in the Red Book Mannual</t>
  </si>
  <si>
    <t>Determination of Field Capacity</t>
  </si>
  <si>
    <t>Before FC determination</t>
  </si>
  <si>
    <t>10-20.</t>
  </si>
  <si>
    <t>110-120</t>
  </si>
  <si>
    <t>120-130</t>
  </si>
  <si>
    <t>130-140</t>
  </si>
  <si>
    <t>140-150</t>
  </si>
  <si>
    <t>Soil horizons, cm</t>
  </si>
  <si>
    <t>District: Karaozyak</t>
  </si>
  <si>
    <t>0-20</t>
  </si>
  <si>
    <t>20-40</t>
  </si>
  <si>
    <t>40-70</t>
  </si>
  <si>
    <t>control</t>
  </si>
  <si>
    <t>70-100</t>
  </si>
  <si>
    <t>experiment</t>
  </si>
  <si>
    <t>61T</t>
  </si>
  <si>
    <t>62T</t>
  </si>
  <si>
    <t>63T</t>
  </si>
  <si>
    <t>64T</t>
  </si>
  <si>
    <t>65T</t>
  </si>
  <si>
    <t>66T</t>
  </si>
  <si>
    <t>67T</t>
  </si>
  <si>
    <t>68T</t>
  </si>
  <si>
    <t>69T</t>
  </si>
  <si>
    <t>Before sowing (2 days before sowing)</t>
  </si>
  <si>
    <t>16 Б</t>
  </si>
  <si>
    <t>1Б</t>
  </si>
  <si>
    <t>17Б</t>
  </si>
  <si>
    <t>10Б</t>
  </si>
  <si>
    <t>14Б</t>
  </si>
  <si>
    <t>12Б</t>
  </si>
  <si>
    <t>13Б</t>
  </si>
  <si>
    <t>11Б</t>
  </si>
  <si>
    <t>6Б</t>
  </si>
  <si>
    <t>2Б</t>
  </si>
  <si>
    <t>3Б</t>
  </si>
  <si>
    <t>15Б</t>
  </si>
  <si>
    <t>9Б</t>
  </si>
  <si>
    <t>242С</t>
  </si>
  <si>
    <t>075033</t>
  </si>
  <si>
    <t>9б/с</t>
  </si>
  <si>
    <t>5Б</t>
  </si>
  <si>
    <t>7Б</t>
  </si>
  <si>
    <t>375838С</t>
  </si>
  <si>
    <t>Е79989С</t>
  </si>
  <si>
    <t>Х279С</t>
  </si>
  <si>
    <t>263С</t>
  </si>
  <si>
    <t>270С</t>
  </si>
  <si>
    <t>087С</t>
  </si>
  <si>
    <t>020С</t>
  </si>
  <si>
    <t>002С</t>
  </si>
  <si>
    <t>156С</t>
  </si>
  <si>
    <t>296С</t>
  </si>
  <si>
    <t>375001С</t>
  </si>
  <si>
    <t>148С</t>
  </si>
  <si>
    <t>378127С</t>
  </si>
  <si>
    <t>146С</t>
  </si>
  <si>
    <t>126С</t>
  </si>
  <si>
    <t>073С</t>
  </si>
  <si>
    <t>158С</t>
  </si>
  <si>
    <t>369С</t>
  </si>
  <si>
    <t>023С</t>
  </si>
  <si>
    <t>224С</t>
  </si>
  <si>
    <t>066С</t>
  </si>
  <si>
    <t>2ас</t>
  </si>
  <si>
    <t>375606</t>
  </si>
  <si>
    <t>102С</t>
  </si>
  <si>
    <t>111С</t>
  </si>
  <si>
    <t>4бс</t>
  </si>
  <si>
    <t>362С</t>
  </si>
  <si>
    <t>207С</t>
  </si>
  <si>
    <t>18/10/2015</t>
  </si>
  <si>
    <t>67 T</t>
  </si>
  <si>
    <t>TDR1</t>
  </si>
  <si>
    <t>11 Б</t>
  </si>
  <si>
    <t>12 Б</t>
  </si>
  <si>
    <t>5 Б</t>
  </si>
  <si>
    <t>62 Т</t>
  </si>
  <si>
    <t>2 Б</t>
  </si>
  <si>
    <t>TDR2</t>
  </si>
  <si>
    <t>3 Б</t>
  </si>
  <si>
    <t>7 Б</t>
  </si>
  <si>
    <t>14 Б</t>
  </si>
  <si>
    <t>1 Б</t>
  </si>
  <si>
    <t>9 Б</t>
  </si>
  <si>
    <t>TDR3</t>
  </si>
  <si>
    <t>64 Т</t>
  </si>
  <si>
    <t>65 Т</t>
  </si>
  <si>
    <t>13 Б</t>
  </si>
  <si>
    <t>32 Т</t>
  </si>
  <si>
    <t>57 Т</t>
  </si>
  <si>
    <t>TDR4</t>
  </si>
  <si>
    <t>9 Т</t>
  </si>
  <si>
    <t>50 Т</t>
  </si>
  <si>
    <t>4 Б</t>
  </si>
  <si>
    <t>6 Т</t>
  </si>
  <si>
    <t>68 Т</t>
  </si>
  <si>
    <t>TDR5</t>
  </si>
  <si>
    <t>26 Т</t>
  </si>
  <si>
    <t>35 Т</t>
  </si>
  <si>
    <t>45 Т</t>
  </si>
  <si>
    <t>27  Т</t>
  </si>
  <si>
    <t>47 Т</t>
  </si>
  <si>
    <t>TDR6</t>
  </si>
  <si>
    <t>8 Б</t>
  </si>
  <si>
    <t>60 Т</t>
  </si>
  <si>
    <t>22 Т</t>
  </si>
  <si>
    <t>34 T</t>
  </si>
  <si>
    <t>TDR12</t>
  </si>
  <si>
    <t>111 C</t>
  </si>
  <si>
    <t>369 C</t>
  </si>
  <si>
    <t>61 T</t>
  </si>
  <si>
    <t>10 Б</t>
  </si>
  <si>
    <t>36 Т</t>
  </si>
  <si>
    <t>TDR11</t>
  </si>
  <si>
    <t>52 Т</t>
  </si>
  <si>
    <t>23 Т</t>
  </si>
  <si>
    <t>24 Т</t>
  </si>
  <si>
    <t>58 Т</t>
  </si>
  <si>
    <t>146 С</t>
  </si>
  <si>
    <t>023 С</t>
  </si>
  <si>
    <t>TDR10</t>
  </si>
  <si>
    <t>66 Т</t>
  </si>
  <si>
    <t>17 Б</t>
  </si>
  <si>
    <t>25 Т</t>
  </si>
  <si>
    <t>39 Т</t>
  </si>
  <si>
    <t>TDR9</t>
  </si>
  <si>
    <t>40 Т</t>
  </si>
  <si>
    <t>10 Т</t>
  </si>
  <si>
    <t>21 Т</t>
  </si>
  <si>
    <t>19 Т</t>
  </si>
  <si>
    <t>51 Т</t>
  </si>
  <si>
    <t>TDR8</t>
  </si>
  <si>
    <t>37 Т</t>
  </si>
  <si>
    <t>15 Т</t>
  </si>
  <si>
    <t>14 Т</t>
  </si>
  <si>
    <t>1 Т</t>
  </si>
  <si>
    <t>44 Т</t>
  </si>
  <si>
    <t>TDR7</t>
  </si>
  <si>
    <t>33 Т</t>
  </si>
  <si>
    <t>59 Т</t>
  </si>
  <si>
    <t>15 Б</t>
  </si>
  <si>
    <t>2 T</t>
  </si>
  <si>
    <t>TDR13</t>
  </si>
  <si>
    <t>54 Т</t>
  </si>
  <si>
    <t>6 Б</t>
  </si>
  <si>
    <t>63 Т</t>
  </si>
  <si>
    <t>42 Т</t>
  </si>
  <si>
    <t>8 Т</t>
  </si>
  <si>
    <t>TDR14</t>
  </si>
  <si>
    <t>5 Т</t>
  </si>
  <si>
    <t>20 Т</t>
  </si>
  <si>
    <t>41 Т</t>
  </si>
  <si>
    <t>12 Т</t>
  </si>
  <si>
    <t>55 Т</t>
  </si>
  <si>
    <t>11 Т</t>
  </si>
  <si>
    <t>TDR15</t>
  </si>
  <si>
    <t>30 Т</t>
  </si>
  <si>
    <t>48 Т</t>
  </si>
  <si>
    <t>16 Т</t>
  </si>
  <si>
    <t>46 Т</t>
  </si>
  <si>
    <t>17 Т</t>
  </si>
  <si>
    <t>TDR16</t>
  </si>
  <si>
    <t>4 Т</t>
  </si>
  <si>
    <t>43 Т</t>
  </si>
  <si>
    <t>13 Т</t>
  </si>
  <si>
    <t>31 Т</t>
  </si>
  <si>
    <t>29 Т</t>
  </si>
  <si>
    <t>TDR17</t>
  </si>
  <si>
    <t>3 Т</t>
  </si>
  <si>
    <t>56 Т</t>
  </si>
  <si>
    <t>28 Т</t>
  </si>
  <si>
    <t>7 Т</t>
  </si>
  <si>
    <t>18 Т</t>
  </si>
  <si>
    <t>TDR18</t>
  </si>
  <si>
    <t>49 Т</t>
  </si>
  <si>
    <t>38 Т</t>
  </si>
  <si>
    <t>53 Т</t>
  </si>
  <si>
    <t>317127 С</t>
  </si>
  <si>
    <t>297 С</t>
  </si>
  <si>
    <t>TDR19</t>
  </si>
  <si>
    <t>K279 C</t>
  </si>
  <si>
    <t>015 C</t>
  </si>
  <si>
    <t>072 C</t>
  </si>
  <si>
    <t>068 C</t>
  </si>
  <si>
    <t>TDR20</t>
  </si>
  <si>
    <t>375001</t>
  </si>
  <si>
    <t>2 ac</t>
  </si>
  <si>
    <t>287 C</t>
  </si>
  <si>
    <t>263 C</t>
  </si>
  <si>
    <t>242C</t>
  </si>
  <si>
    <t>TDR22</t>
  </si>
  <si>
    <t>020C</t>
  </si>
  <si>
    <t>102C</t>
  </si>
  <si>
    <t>123С</t>
  </si>
  <si>
    <t>TDR21</t>
  </si>
  <si>
    <t>375606С</t>
  </si>
  <si>
    <t>TDR23</t>
  </si>
  <si>
    <t>375838</t>
  </si>
  <si>
    <t>Е79936</t>
  </si>
  <si>
    <t>375033</t>
  </si>
  <si>
    <t>TDR24</t>
  </si>
  <si>
    <t>М/С</t>
  </si>
  <si>
    <t>1 С</t>
  </si>
  <si>
    <t>4 бс</t>
  </si>
  <si>
    <t>TDR25</t>
  </si>
  <si>
    <t>375414С</t>
  </si>
  <si>
    <t>20.09.2015</t>
  </si>
  <si>
    <t>N-NH4</t>
  </si>
  <si>
    <t>P2O5</t>
  </si>
  <si>
    <t>K2O</t>
  </si>
  <si>
    <t>mg/ kg</t>
  </si>
  <si>
    <t>N-NO3</t>
  </si>
  <si>
    <t>Control</t>
  </si>
  <si>
    <t>Plot1</t>
  </si>
  <si>
    <t>Plot2</t>
  </si>
  <si>
    <t>Soil chemical analysis</t>
  </si>
  <si>
    <t>Sampling Date</t>
  </si>
  <si>
    <t>Sample Depth</t>
  </si>
  <si>
    <t>Electrical conductivity Ece</t>
  </si>
  <si>
    <t>Solid residual</t>
  </si>
  <si>
    <t xml:space="preserve">Soluble cations </t>
  </si>
  <si>
    <t>Soluble anions</t>
  </si>
  <si>
    <t>Exchangeable cations</t>
  </si>
  <si>
    <t>SAR **</t>
  </si>
  <si>
    <t>ESP</t>
  </si>
  <si>
    <t>Ca 2+</t>
  </si>
  <si>
    <t>Mg 2+</t>
  </si>
  <si>
    <t>Na + photometer</t>
  </si>
  <si>
    <t>K + photometer</t>
  </si>
  <si>
    <r>
      <t>CO</t>
    </r>
    <r>
      <rPr>
        <b/>
        <sz val="8"/>
        <color indexed="8"/>
        <rFont val="Times New Roman"/>
        <family val="1"/>
        <charset val="204"/>
      </rPr>
      <t xml:space="preserve">3 </t>
    </r>
    <r>
      <rPr>
        <b/>
        <sz val="10"/>
        <color indexed="8"/>
        <rFont val="Times New Roman"/>
        <family val="1"/>
        <charset val="204"/>
      </rPr>
      <t>2–</t>
    </r>
  </si>
  <si>
    <r>
      <t>HCO</t>
    </r>
    <r>
      <rPr>
        <b/>
        <sz val="8"/>
        <color indexed="8"/>
        <rFont val="Times New Roman"/>
        <family val="1"/>
        <charset val="204"/>
      </rPr>
      <t xml:space="preserve">3 </t>
    </r>
    <r>
      <rPr>
        <b/>
        <sz val="10"/>
        <color indexed="8"/>
        <rFont val="Times New Roman"/>
        <family val="1"/>
        <charset val="204"/>
      </rPr>
      <t>–</t>
    </r>
  </si>
  <si>
    <t>Cl –</t>
  </si>
  <si>
    <r>
      <t>SO</t>
    </r>
    <r>
      <rPr>
        <b/>
        <sz val="8"/>
        <color indexed="8"/>
        <rFont val="Times New Roman"/>
        <family val="1"/>
        <charset val="204"/>
      </rPr>
      <t xml:space="preserve">4 </t>
    </r>
    <r>
      <rPr>
        <b/>
        <sz val="10"/>
        <color indexed="8"/>
        <rFont val="Times New Roman"/>
        <family val="1"/>
        <charset val="204"/>
      </rPr>
      <t>2–</t>
    </r>
  </si>
  <si>
    <t>Na +</t>
  </si>
  <si>
    <t>K +</t>
  </si>
  <si>
    <t xml:space="preserve"> %/100g</t>
  </si>
  <si>
    <t xml:space="preserve">  meq/100g</t>
  </si>
  <si>
    <t>(21)</t>
  </si>
  <si>
    <t>(22)</t>
  </si>
  <si>
    <t xml:space="preserve">15-30 </t>
  </si>
  <si>
    <t xml:space="preserve">30-60 </t>
  </si>
  <si>
    <t xml:space="preserve">60-90 </t>
  </si>
  <si>
    <t>Test farm: Aydos farm</t>
  </si>
  <si>
    <t>разница между плотным остатком и суммой катионов и анионов</t>
  </si>
  <si>
    <t>отношение суммы анионов к сумме катинов</t>
  </si>
  <si>
    <t>Z, EC,dS/m</t>
  </si>
  <si>
    <t>T, oC</t>
  </si>
  <si>
    <t>EM38 measurements</t>
  </si>
  <si>
    <t>##</t>
  </si>
  <si>
    <t>TDR</t>
  </si>
  <si>
    <t>TDS</t>
  </si>
  <si>
    <t>Karaozyak</t>
  </si>
  <si>
    <t>023C</t>
  </si>
  <si>
    <t>30C</t>
  </si>
  <si>
    <t>35C</t>
  </si>
  <si>
    <t>43C</t>
  </si>
  <si>
    <t>K279C</t>
  </si>
  <si>
    <t>2ac</t>
  </si>
  <si>
    <t>19C</t>
  </si>
  <si>
    <t>20C</t>
  </si>
  <si>
    <t>015C</t>
  </si>
  <si>
    <t>23C</t>
  </si>
  <si>
    <t>E79986C</t>
  </si>
  <si>
    <t>7C</t>
  </si>
  <si>
    <t>156C</t>
  </si>
  <si>
    <t>44C</t>
  </si>
  <si>
    <t>47C</t>
  </si>
  <si>
    <t>6C</t>
  </si>
  <si>
    <t>4C</t>
  </si>
  <si>
    <t>068C</t>
  </si>
  <si>
    <t>362C</t>
  </si>
  <si>
    <t>54C</t>
  </si>
  <si>
    <t>21C</t>
  </si>
  <si>
    <t>375001C</t>
  </si>
  <si>
    <t>287C</t>
  </si>
  <si>
    <t>066C</t>
  </si>
  <si>
    <t>15C</t>
  </si>
  <si>
    <t>Volumetric</t>
  </si>
  <si>
    <t>32 C</t>
  </si>
  <si>
    <t>12 C</t>
  </si>
  <si>
    <t>46 C</t>
  </si>
  <si>
    <t>35 T</t>
  </si>
  <si>
    <t>50 T</t>
  </si>
  <si>
    <t>13 T</t>
  </si>
  <si>
    <t>10 C</t>
  </si>
  <si>
    <t>58 C</t>
  </si>
  <si>
    <t>207 С</t>
  </si>
  <si>
    <t>45 C</t>
  </si>
  <si>
    <t>50 C</t>
  </si>
  <si>
    <t>75414C</t>
  </si>
  <si>
    <t>8 T</t>
  </si>
  <si>
    <t>11 C</t>
  </si>
  <si>
    <t>22 C</t>
  </si>
  <si>
    <t>75127C</t>
  </si>
  <si>
    <t>369 С</t>
  </si>
  <si>
    <t>34 С</t>
  </si>
  <si>
    <t>148 С</t>
  </si>
  <si>
    <t>13.5</t>
  </si>
  <si>
    <t>9 БC</t>
  </si>
  <si>
    <t>69 Т</t>
  </si>
  <si>
    <t>28 С</t>
  </si>
  <si>
    <t>53 C</t>
  </si>
  <si>
    <t>25 С</t>
  </si>
  <si>
    <t>49 С</t>
  </si>
  <si>
    <t>073 С</t>
  </si>
  <si>
    <t xml:space="preserve">19 Т </t>
  </si>
  <si>
    <t xml:space="preserve">29 Т </t>
  </si>
  <si>
    <t>48 С</t>
  </si>
  <si>
    <t>27 С</t>
  </si>
  <si>
    <t>17 С</t>
  </si>
  <si>
    <t>36 С</t>
  </si>
  <si>
    <t>42 С</t>
  </si>
  <si>
    <t>18 С</t>
  </si>
  <si>
    <t>39 C</t>
  </si>
  <si>
    <t>24 С</t>
  </si>
  <si>
    <t>242 С</t>
  </si>
  <si>
    <t>16 С</t>
  </si>
  <si>
    <t>52 С</t>
  </si>
  <si>
    <t>123 С</t>
  </si>
  <si>
    <t>002 С</t>
  </si>
  <si>
    <t>54 С</t>
  </si>
  <si>
    <t>2 С</t>
  </si>
  <si>
    <t>087 С</t>
  </si>
  <si>
    <t>41 С</t>
  </si>
  <si>
    <t>4 БC</t>
  </si>
  <si>
    <t>51 С</t>
  </si>
  <si>
    <t>75033С</t>
  </si>
  <si>
    <t>29 С</t>
  </si>
  <si>
    <t>38 С</t>
  </si>
  <si>
    <t>13/11/2015</t>
  </si>
  <si>
    <t>14/11/2015</t>
  </si>
  <si>
    <t>9 С</t>
  </si>
  <si>
    <t>27 Т</t>
  </si>
  <si>
    <t>270 С</t>
  </si>
  <si>
    <t>297С</t>
  </si>
  <si>
    <t>17Т</t>
  </si>
  <si>
    <t>32Т</t>
  </si>
  <si>
    <t>56 С</t>
  </si>
  <si>
    <t>14 С</t>
  </si>
  <si>
    <t>9Т</t>
  </si>
  <si>
    <t>75838С</t>
  </si>
  <si>
    <t>111 С</t>
  </si>
  <si>
    <t>31Т</t>
  </si>
  <si>
    <t>40Т</t>
  </si>
  <si>
    <t>5 С</t>
  </si>
  <si>
    <t>М1С</t>
  </si>
  <si>
    <t>102 С</t>
  </si>
  <si>
    <t>55 С</t>
  </si>
  <si>
    <t>33 С</t>
  </si>
  <si>
    <t>60 С</t>
  </si>
  <si>
    <t>072 С</t>
  </si>
  <si>
    <t>55Т</t>
  </si>
  <si>
    <t>15/11/2015</t>
  </si>
  <si>
    <t>23 С</t>
  </si>
  <si>
    <t>79936С</t>
  </si>
  <si>
    <t>287 С</t>
  </si>
  <si>
    <t>34Т</t>
  </si>
  <si>
    <t>3Т</t>
  </si>
  <si>
    <t>44 С</t>
  </si>
  <si>
    <t>18Т</t>
  </si>
  <si>
    <t>53Т</t>
  </si>
  <si>
    <t>75001С</t>
  </si>
  <si>
    <t>015С</t>
  </si>
  <si>
    <t>068 С</t>
  </si>
  <si>
    <t>43 С</t>
  </si>
  <si>
    <t>54Т</t>
  </si>
  <si>
    <t>4 С</t>
  </si>
  <si>
    <t>6 С</t>
  </si>
  <si>
    <t>21 С</t>
  </si>
  <si>
    <t>47 С</t>
  </si>
  <si>
    <t>4Т</t>
  </si>
  <si>
    <t>75606С</t>
  </si>
  <si>
    <t>12.11.15</t>
  </si>
  <si>
    <t>13.11.15</t>
  </si>
  <si>
    <t>14.11.15</t>
  </si>
  <si>
    <t>15.11.15</t>
  </si>
  <si>
    <t>Rep</t>
  </si>
  <si>
    <t>Average</t>
  </si>
  <si>
    <t>Soil depth, cm</t>
  </si>
  <si>
    <t>average</t>
  </si>
  <si>
    <t xml:space="preserve">0-10 </t>
  </si>
  <si>
    <t>Горизонт почвы, !</t>
  </si>
  <si>
    <t>129 Т</t>
  </si>
  <si>
    <t>115 Т</t>
  </si>
  <si>
    <t>127 Т</t>
  </si>
  <si>
    <t>110 Т</t>
  </si>
  <si>
    <t>121 Т</t>
  </si>
  <si>
    <t>123 Т</t>
  </si>
  <si>
    <t>8 С</t>
  </si>
  <si>
    <t>114 Т</t>
  </si>
  <si>
    <t>119 Т</t>
  </si>
  <si>
    <t>111 Т</t>
  </si>
  <si>
    <t>116 Т</t>
  </si>
  <si>
    <t>120 Т</t>
  </si>
  <si>
    <t>126 С</t>
  </si>
  <si>
    <t>263 С</t>
  </si>
  <si>
    <t>132 Т</t>
  </si>
  <si>
    <t>136 Т</t>
  </si>
  <si>
    <t>40С</t>
  </si>
  <si>
    <t>57С</t>
  </si>
  <si>
    <t>1Т</t>
  </si>
  <si>
    <t>19С</t>
  </si>
  <si>
    <t>43С</t>
  </si>
  <si>
    <t>31 С</t>
  </si>
  <si>
    <t>296 С</t>
  </si>
  <si>
    <t>67 Т</t>
  </si>
  <si>
    <t>26 С</t>
  </si>
  <si>
    <t>118 Т</t>
  </si>
  <si>
    <t>113 Т</t>
  </si>
  <si>
    <t>117 Т</t>
  </si>
  <si>
    <t>Location</t>
  </si>
  <si>
    <t>072C</t>
  </si>
  <si>
    <t>41 T</t>
  </si>
  <si>
    <t>11 T</t>
  </si>
  <si>
    <t>55 T</t>
  </si>
  <si>
    <t>60 C</t>
  </si>
  <si>
    <t>19 T</t>
  </si>
  <si>
    <t>52 C</t>
  </si>
  <si>
    <t>40 T</t>
  </si>
  <si>
    <t>М1 С</t>
  </si>
  <si>
    <t>75838 С</t>
  </si>
  <si>
    <t>3 С</t>
  </si>
  <si>
    <t>35 С</t>
  </si>
  <si>
    <t>362 С</t>
  </si>
  <si>
    <t>15 С</t>
  </si>
  <si>
    <t>20 С</t>
  </si>
  <si>
    <t>224 С</t>
  </si>
  <si>
    <t>75606 С</t>
  </si>
  <si>
    <t>7 С</t>
  </si>
  <si>
    <t>015 С</t>
  </si>
  <si>
    <t>020 С</t>
  </si>
  <si>
    <t>156 С</t>
  </si>
  <si>
    <t>30 С</t>
  </si>
  <si>
    <t>Groundwater quality</t>
  </si>
  <si>
    <t>Treat #</t>
  </si>
  <si>
    <t>Rep #</t>
  </si>
  <si>
    <t>EC</t>
  </si>
  <si>
    <t>GWL, m</t>
  </si>
  <si>
    <t>mg/L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</si>
  <si>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</si>
  <si>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</si>
  <si>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</si>
  <si>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</si>
  <si>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</si>
  <si>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</si>
  <si>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</si>
  <si>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</si>
  <si>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</si>
  <si>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</si>
  <si>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</si>
  <si>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№ bootles</t>
  </si>
  <si>
    <t>Level of water (cm)</t>
  </si>
  <si>
    <t>Irrigation water (kanal)</t>
  </si>
  <si>
    <t>PH</t>
  </si>
  <si>
    <t>t</t>
  </si>
  <si>
    <t xml:space="preserve">баклашка канал </t>
  </si>
  <si>
    <t>Р12</t>
  </si>
  <si>
    <t>20.11.15</t>
  </si>
  <si>
    <t>points</t>
  </si>
  <si>
    <t>30/10/2015</t>
  </si>
  <si>
    <t>75606</t>
  </si>
  <si>
    <t>42C</t>
  </si>
  <si>
    <t>3C</t>
  </si>
  <si>
    <t>25C</t>
  </si>
  <si>
    <t>123C</t>
  </si>
  <si>
    <t>12C</t>
  </si>
  <si>
    <t>59C</t>
  </si>
  <si>
    <t>49C</t>
  </si>
  <si>
    <t>14C</t>
  </si>
  <si>
    <t>5C</t>
  </si>
  <si>
    <t>270C</t>
  </si>
  <si>
    <t>48C</t>
  </si>
  <si>
    <t>M1C</t>
  </si>
  <si>
    <t>8C</t>
  </si>
  <si>
    <t>087C</t>
  </si>
  <si>
    <t>296C</t>
  </si>
  <si>
    <t>257C</t>
  </si>
  <si>
    <t>51C</t>
  </si>
  <si>
    <t>40C</t>
  </si>
  <si>
    <t>9e</t>
  </si>
  <si>
    <t>53C</t>
  </si>
  <si>
    <t>24C</t>
  </si>
  <si>
    <t>57C</t>
  </si>
  <si>
    <t>60C</t>
  </si>
  <si>
    <t>55C</t>
  </si>
  <si>
    <t>75033C</t>
  </si>
  <si>
    <t>E799436C</t>
  </si>
  <si>
    <t>297C</t>
  </si>
  <si>
    <t>75001C</t>
  </si>
  <si>
    <t>29C</t>
  </si>
  <si>
    <t>263C</t>
  </si>
  <si>
    <t>1C</t>
  </si>
  <si>
    <t>158C</t>
  </si>
  <si>
    <t>111C</t>
  </si>
  <si>
    <t>24Т</t>
  </si>
  <si>
    <t>left side</t>
  </si>
  <si>
    <t>10 metr</t>
  </si>
  <si>
    <t>8Т</t>
  </si>
  <si>
    <t>TDR #</t>
  </si>
  <si>
    <t>36С</t>
  </si>
  <si>
    <t>58Т</t>
  </si>
  <si>
    <t>375127С</t>
  </si>
  <si>
    <t>13С</t>
  </si>
  <si>
    <t>11С</t>
  </si>
  <si>
    <t>39С</t>
  </si>
  <si>
    <t>2С</t>
  </si>
  <si>
    <t>17С</t>
  </si>
  <si>
    <t>22С</t>
  </si>
  <si>
    <t>28С</t>
  </si>
  <si>
    <t>29С</t>
  </si>
  <si>
    <t>8Б</t>
  </si>
  <si>
    <t>58С</t>
  </si>
  <si>
    <t>16С</t>
  </si>
  <si>
    <t>46С</t>
  </si>
  <si>
    <t>32С</t>
  </si>
  <si>
    <t>33С</t>
  </si>
  <si>
    <t>60Т</t>
  </si>
  <si>
    <t>072С</t>
  </si>
  <si>
    <t>26С</t>
  </si>
  <si>
    <t>38С</t>
  </si>
  <si>
    <t>56С</t>
  </si>
  <si>
    <t>10С</t>
  </si>
  <si>
    <t>22Т</t>
  </si>
  <si>
    <t>59Т</t>
  </si>
  <si>
    <t>57Т</t>
  </si>
  <si>
    <t>6Т</t>
  </si>
  <si>
    <t>14Т</t>
  </si>
  <si>
    <t>27С</t>
  </si>
  <si>
    <t>4Б</t>
  </si>
  <si>
    <t>45С</t>
  </si>
  <si>
    <t>56Т</t>
  </si>
  <si>
    <t>50T (45)</t>
  </si>
  <si>
    <t>34C</t>
  </si>
  <si>
    <t>41C</t>
  </si>
  <si>
    <t>50C</t>
  </si>
  <si>
    <t>18C</t>
  </si>
  <si>
    <t>52C</t>
  </si>
  <si>
    <t>16Б</t>
  </si>
  <si>
    <t>42С</t>
  </si>
  <si>
    <t>47Т</t>
  </si>
  <si>
    <t>12С</t>
  </si>
  <si>
    <t>53С</t>
  </si>
  <si>
    <t>52Т</t>
  </si>
  <si>
    <t>33Т</t>
  </si>
  <si>
    <t>26Т</t>
  </si>
  <si>
    <t>5С</t>
  </si>
  <si>
    <t>14С</t>
  </si>
  <si>
    <t>51С</t>
  </si>
  <si>
    <t>16Т</t>
  </si>
  <si>
    <t>41Т</t>
  </si>
  <si>
    <t>55С</t>
  </si>
  <si>
    <t>48Т</t>
  </si>
  <si>
    <t>9С</t>
  </si>
  <si>
    <t>59С</t>
  </si>
  <si>
    <t>45Т</t>
  </si>
  <si>
    <t>37Т</t>
  </si>
  <si>
    <t>11Т</t>
  </si>
  <si>
    <t>21Т</t>
  </si>
  <si>
    <t>27Т</t>
  </si>
  <si>
    <t>375033С</t>
  </si>
  <si>
    <t>60С</t>
  </si>
  <si>
    <t>Database</t>
  </si>
  <si>
    <t>RESEARCH ACTIVITIES</t>
  </si>
  <si>
    <t>SOIL SALINITY MANAGEMENT ON RAISED BED WITH DIFFERENT FURROW IRRIGATION</t>
  </si>
  <si>
    <t>METHODS IN SALT-AFFECTED LANDS IN ARAL SEA BASIN</t>
  </si>
  <si>
    <t>WITHIN</t>
  </si>
  <si>
    <t>CGIAR RESEARCH PROGRAM ON DRYLAND SYSTEMS (CRP DS)</t>
  </si>
  <si>
    <t>Краснодар Яксарт</t>
  </si>
  <si>
    <t>1 rep</t>
  </si>
  <si>
    <t>2 rep</t>
  </si>
  <si>
    <t>3 rep</t>
  </si>
  <si>
    <t>Krasnodar</t>
  </si>
  <si>
    <t>Yaksart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</si>
</sst>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5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vertAlign val="superscript"/>
      <sz val="10"/>
      <name val="Arial"/>
      <family val="2"/>
    </font>
    <font>
      <b/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theme="6"/>
      <name val="Arial"/>
      <family val="2"/>
      <charset val="204"/>
    </font>
    <font>
      <sz val="10"/>
      <color rgb="FFFF0000"/>
      <name val="Arial Cyr"/>
      <charset val="204"/>
    </font>
    <font>
      <sz val="10"/>
      <name val="Arial"/>
      <charset val="204"/>
    </font>
    <font>
      <sz val="10"/>
      <color indexed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4">
    <xf numFmtId="0" fontId="0" fillId="0" borderId="0"/>
    <xf numFmtId="0" fontId="15" fillId="0" borderId="0"/>
    <xf numFmtId="0" fontId="15" fillId="0" borderId="0"/>
    <xf numFmtId="0" fontId="9" fillId="0" borderId="0"/>
    <xf numFmtId="0" fontId="19" fillId="0" borderId="0"/>
    <xf numFmtId="0" fontId="15" fillId="0" borderId="0"/>
    <xf numFmtId="0" fontId="8" fillId="0" borderId="0"/>
    <xf numFmtId="0" fontId="15" fillId="0" borderId="0"/>
    <xf numFmtId="0" fontId="37" fillId="0" borderId="0"/>
    <xf numFmtId="0" fontId="10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4" borderId="61" applyNumberFormat="0" applyFont="0" applyAlignment="0" applyProtection="0"/>
    <xf numFmtId="0" fontId="7" fillId="4" borderId="61" applyNumberFormat="0" applyFont="0" applyAlignment="0" applyProtection="0"/>
    <xf numFmtId="0" fontId="7" fillId="4" borderId="61" applyNumberFormat="0" applyFont="0" applyAlignment="0" applyProtection="0"/>
    <xf numFmtId="0" fontId="7" fillId="4" borderId="61" applyNumberFormat="0" applyFont="0" applyAlignment="0" applyProtection="0"/>
    <xf numFmtId="0" fontId="7" fillId="4" borderId="61" applyNumberFormat="0" applyFont="0" applyAlignment="0" applyProtection="0"/>
    <xf numFmtId="0" fontId="7" fillId="4" borderId="61" applyNumberFormat="0" applyFont="0" applyAlignment="0" applyProtection="0"/>
    <xf numFmtId="0" fontId="7" fillId="4" borderId="61" applyNumberFormat="0" applyFont="0" applyAlignment="0" applyProtection="0"/>
    <xf numFmtId="0" fontId="6" fillId="0" borderId="0"/>
    <xf numFmtId="0" fontId="10" fillId="0" borderId="0"/>
    <xf numFmtId="0" fontId="5" fillId="0" borderId="0"/>
    <xf numFmtId="0" fontId="10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" fillId="0" borderId="0"/>
    <xf numFmtId="0" fontId="50" fillId="0" borderId="0"/>
  </cellStyleXfs>
  <cellXfs count="679">
    <xf numFmtId="0" fontId="0" fillId="0" borderId="0" xfId="0"/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15" fillId="0" borderId="0" xfId="2"/>
    <xf numFmtId="0" fontId="15" fillId="0" borderId="0" xfId="1"/>
    <xf numFmtId="0" fontId="20" fillId="2" borderId="13" xfId="1" applyFont="1" applyFill="1" applyBorder="1" applyAlignment="1">
      <alignment horizontal="center" vertical="center" wrapText="1"/>
    </xf>
    <xf numFmtId="0" fontId="20" fillId="2" borderId="33" xfId="1" applyFont="1" applyFill="1" applyBorder="1" applyAlignment="1">
      <alignment horizontal="center" vertical="center" wrapText="1"/>
    </xf>
    <xf numFmtId="0" fontId="20" fillId="2" borderId="34" xfId="1" applyFont="1" applyFill="1" applyBorder="1" applyAlignment="1">
      <alignment horizontal="center" vertical="center" wrapText="1"/>
    </xf>
    <xf numFmtId="14" fontId="20" fillId="2" borderId="35" xfId="1" applyNumberFormat="1" applyFont="1" applyFill="1" applyBorder="1" applyAlignment="1">
      <alignment horizontal="center" vertical="center" wrapText="1"/>
    </xf>
    <xf numFmtId="14" fontId="26" fillId="2" borderId="35" xfId="1" applyNumberFormat="1" applyFont="1" applyFill="1" applyBorder="1" applyAlignment="1">
      <alignment horizontal="center" vertical="center" wrapText="1"/>
    </xf>
    <xf numFmtId="0" fontId="20" fillId="2" borderId="27" xfId="1" applyFont="1" applyFill="1" applyBorder="1" applyAlignment="1">
      <alignment horizontal="center" vertical="center" wrapText="1"/>
    </xf>
    <xf numFmtId="0" fontId="15" fillId="0" borderId="13" xfId="1" applyBorder="1"/>
    <xf numFmtId="0" fontId="15" fillId="0" borderId="14" xfId="1" applyBorder="1"/>
    <xf numFmtId="2" fontId="19" fillId="0" borderId="1" xfId="1" applyNumberFormat="1" applyFont="1" applyBorder="1" applyAlignment="1">
      <alignment horizontal="center"/>
    </xf>
    <xf numFmtId="2" fontId="15" fillId="0" borderId="0" xfId="1" applyNumberFormat="1"/>
    <xf numFmtId="0" fontId="15" fillId="0" borderId="22" xfId="1" applyBorder="1"/>
    <xf numFmtId="0" fontId="15" fillId="0" borderId="0" xfId="1" applyBorder="1"/>
    <xf numFmtId="2" fontId="19" fillId="0" borderId="32" xfId="1" applyNumberFormat="1" applyFont="1" applyBorder="1" applyAlignment="1">
      <alignment horizontal="center"/>
    </xf>
    <xf numFmtId="0" fontId="15" fillId="0" borderId="11" xfId="1" applyBorder="1"/>
    <xf numFmtId="0" fontId="15" fillId="0" borderId="16" xfId="1" applyBorder="1"/>
    <xf numFmtId="2" fontId="19" fillId="0" borderId="27" xfId="1" applyNumberFormat="1" applyFont="1" applyBorder="1" applyAlignment="1">
      <alignment horizontal="center"/>
    </xf>
    <xf numFmtId="2" fontId="19" fillId="0" borderId="40" xfId="1" applyNumberFormat="1" applyFont="1" applyBorder="1" applyAlignment="1">
      <alignment horizontal="center"/>
    </xf>
    <xf numFmtId="0" fontId="20" fillId="2" borderId="39" xfId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2" fontId="19" fillId="0" borderId="43" xfId="1" applyNumberFormat="1" applyFont="1" applyBorder="1" applyAlignment="1">
      <alignment horizontal="center"/>
    </xf>
    <xf numFmtId="165" fontId="19" fillId="0" borderId="43" xfId="1" applyNumberFormat="1" applyFont="1" applyBorder="1" applyAlignment="1">
      <alignment horizontal="center"/>
    </xf>
    <xf numFmtId="17" fontId="27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0" fontId="19" fillId="0" borderId="1" xfId="1" applyFont="1" applyBorder="1"/>
    <xf numFmtId="0" fontId="19" fillId="0" borderId="1" xfId="1" applyFont="1" applyBorder="1" applyAlignment="1">
      <alignment horizontal="center"/>
    </xf>
    <xf numFmtId="14" fontId="0" fillId="0" borderId="0" xfId="0" applyNumberFormat="1"/>
    <xf numFmtId="0" fontId="0" fillId="0" borderId="27" xfId="0" applyBorder="1"/>
    <xf numFmtId="2" fontId="11" fillId="0" borderId="1" xfId="1" applyNumberFormat="1" applyFont="1" applyBorder="1" applyAlignment="1">
      <alignment horizontal="center"/>
    </xf>
    <xf numFmtId="0" fontId="19" fillId="0" borderId="0" xfId="4"/>
    <xf numFmtId="0" fontId="11" fillId="0" borderId="0" xfId="4" applyFont="1"/>
    <xf numFmtId="0" fontId="11" fillId="0" borderId="0" xfId="4" applyFont="1" applyAlignment="1">
      <alignment horizontal="center"/>
    </xf>
    <xf numFmtId="0" fontId="19" fillId="0" borderId="0" xfId="4" applyAlignment="1">
      <alignment horizontal="center"/>
    </xf>
    <xf numFmtId="0" fontId="19" fillId="0" borderId="0" xfId="4" applyAlignment="1"/>
    <xf numFmtId="0" fontId="19" fillId="0" borderId="0" xfId="4" applyAlignment="1">
      <alignment horizontal="center" vertical="center" wrapText="1"/>
    </xf>
    <xf numFmtId="49" fontId="19" fillId="0" borderId="18" xfId="4" applyNumberFormat="1" applyBorder="1" applyAlignment="1">
      <alignment horizontal="center"/>
    </xf>
    <xf numFmtId="49" fontId="19" fillId="0" borderId="2" xfId="4" applyNumberFormat="1" applyBorder="1" applyAlignment="1">
      <alignment horizontal="center"/>
    </xf>
    <xf numFmtId="0" fontId="15" fillId="0" borderId="0" xfId="5"/>
    <xf numFmtId="0" fontId="19" fillId="0" borderId="1" xfId="4" applyBorder="1"/>
    <xf numFmtId="0" fontId="19" fillId="0" borderId="0" xfId="4" applyFill="1"/>
    <xf numFmtId="0" fontId="11" fillId="0" borderId="0" xfId="5" applyFont="1"/>
    <xf numFmtId="0" fontId="15" fillId="0" borderId="0" xfId="5" applyAlignment="1"/>
    <xf numFmtId="0" fontId="11" fillId="0" borderId="0" xfId="5" applyFont="1" applyAlignment="1">
      <alignment horizontal="center"/>
    </xf>
    <xf numFmtId="49" fontId="25" fillId="0" borderId="13" xfId="4" applyNumberFormat="1" applyFont="1" applyBorder="1" applyAlignment="1">
      <alignment horizontal="center" vertical="center" wrapText="1"/>
    </xf>
    <xf numFmtId="0" fontId="19" fillId="0" borderId="15" xfId="4" applyBorder="1" applyAlignment="1">
      <alignment horizontal="center" vertical="center" wrapText="1"/>
    </xf>
    <xf numFmtId="0" fontId="19" fillId="0" borderId="46" xfId="4" applyBorder="1" applyAlignment="1">
      <alignment horizontal="center" vertical="center" wrapText="1"/>
    </xf>
    <xf numFmtId="0" fontId="11" fillId="0" borderId="30" xfId="4" applyFont="1" applyBorder="1" applyAlignment="1">
      <alignment horizontal="center" vertical="center" wrapText="1"/>
    </xf>
    <xf numFmtId="14" fontId="25" fillId="0" borderId="30" xfId="4" applyNumberFormat="1" applyFont="1" applyBorder="1" applyAlignment="1">
      <alignment horizontal="center" vertical="center" wrapText="1"/>
    </xf>
    <xf numFmtId="0" fontId="25" fillId="0" borderId="30" xfId="4" applyFont="1" applyBorder="1" applyAlignment="1">
      <alignment horizontal="center" vertical="center" wrapText="1"/>
    </xf>
    <xf numFmtId="0" fontId="19" fillId="0" borderId="30" xfId="4" applyBorder="1" applyAlignment="1">
      <alignment horizontal="center" vertical="center" wrapText="1"/>
    </xf>
    <xf numFmtId="0" fontId="19" fillId="0" borderId="22" xfId="4" applyBorder="1" applyAlignment="1">
      <alignment horizontal="center" vertical="center" wrapText="1"/>
    </xf>
    <xf numFmtId="0" fontId="19" fillId="0" borderId="24" xfId="4" applyBorder="1" applyAlignment="1">
      <alignment horizontal="center" vertical="center" wrapText="1"/>
    </xf>
    <xf numFmtId="0" fontId="19" fillId="0" borderId="3" xfId="4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14" fontId="25" fillId="0" borderId="1" xfId="4" applyNumberFormat="1" applyFont="1" applyBorder="1" applyAlignment="1">
      <alignment horizontal="center" vertical="center" wrapText="1"/>
    </xf>
    <xf numFmtId="0" fontId="25" fillId="0" borderId="27" xfId="4" applyFont="1" applyBorder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19" fillId="0" borderId="1" xfId="4" applyBorder="1" applyAlignment="1">
      <alignment horizontal="center" vertical="center" wrapText="1"/>
    </xf>
    <xf numFmtId="0" fontId="19" fillId="0" borderId="11" xfId="4" applyBorder="1" applyAlignment="1">
      <alignment horizontal="center" vertical="center" wrapText="1"/>
    </xf>
    <xf numFmtId="0" fontId="19" fillId="0" borderId="17" xfId="4" applyBorder="1" applyAlignment="1">
      <alignment horizontal="center" vertical="center" wrapText="1"/>
    </xf>
    <xf numFmtId="0" fontId="29" fillId="0" borderId="53" xfId="4" applyFont="1" applyBorder="1" applyAlignment="1">
      <alignment horizontal="center" vertical="center" wrapText="1"/>
    </xf>
    <xf numFmtId="0" fontId="25" fillId="0" borderId="29" xfId="4" applyFont="1" applyBorder="1" applyAlignment="1">
      <alignment horizontal="center" vertical="center" wrapText="1"/>
    </xf>
    <xf numFmtId="14" fontId="25" fillId="0" borderId="29" xfId="4" applyNumberFormat="1" applyFont="1" applyBorder="1" applyAlignment="1">
      <alignment horizontal="center" vertical="center" wrapText="1"/>
    </xf>
    <xf numFmtId="0" fontId="19" fillId="0" borderId="29" xfId="4" applyBorder="1" applyAlignment="1">
      <alignment horizontal="center" vertical="center" wrapText="1"/>
    </xf>
    <xf numFmtId="0" fontId="19" fillId="0" borderId="0" xfId="4" applyBorder="1" applyAlignment="1">
      <alignment horizontal="center" vertical="center" wrapText="1"/>
    </xf>
    <xf numFmtId="0" fontId="19" fillId="0" borderId="39" xfId="4" applyBorder="1" applyAlignment="1">
      <alignment horizontal="center" vertical="center" wrapText="1"/>
    </xf>
    <xf numFmtId="0" fontId="29" fillId="0" borderId="42" xfId="4" applyFont="1" applyBorder="1" applyAlignment="1">
      <alignment horizontal="center" vertical="center" wrapText="1"/>
    </xf>
    <xf numFmtId="0" fontId="25" fillId="0" borderId="40" xfId="4" applyFont="1" applyBorder="1" applyAlignment="1">
      <alignment horizontal="center" vertical="center" wrapText="1"/>
    </xf>
    <xf numFmtId="0" fontId="25" fillId="0" borderId="39" xfId="4" applyFont="1" applyBorder="1" applyAlignment="1">
      <alignment horizontal="center" vertical="center" wrapText="1"/>
    </xf>
    <xf numFmtId="14" fontId="25" fillId="0" borderId="40" xfId="4" applyNumberFormat="1" applyFont="1" applyBorder="1" applyAlignment="1">
      <alignment horizontal="center" vertical="center" wrapText="1"/>
    </xf>
    <xf numFmtId="0" fontId="19" fillId="0" borderId="40" xfId="4" applyBorder="1" applyAlignment="1">
      <alignment horizontal="center" vertical="center" wrapText="1"/>
    </xf>
    <xf numFmtId="49" fontId="19" fillId="0" borderId="2" xfId="4" applyNumberFormat="1" applyBorder="1" applyAlignment="1">
      <alignment horizontal="center" vertical="center" wrapText="1"/>
    </xf>
    <xf numFmtId="49" fontId="19" fillId="0" borderId="18" xfId="4" applyNumberFormat="1" applyBorder="1" applyAlignment="1">
      <alignment horizontal="center" vertical="center" wrapText="1"/>
    </xf>
    <xf numFmtId="49" fontId="19" fillId="0" borderId="22" xfId="4" applyNumberFormat="1" applyBorder="1" applyAlignment="1">
      <alignment horizontal="center" vertical="center" wrapText="1"/>
    </xf>
    <xf numFmtId="49" fontId="19" fillId="0" borderId="0" xfId="4" applyNumberFormat="1" applyBorder="1" applyAlignment="1">
      <alignment horizontal="center" vertical="center" wrapText="1"/>
    </xf>
    <xf numFmtId="49" fontId="19" fillId="0" borderId="27" xfId="4" applyNumberFormat="1" applyBorder="1" applyAlignment="1">
      <alignment horizontal="center" vertical="center" wrapText="1"/>
    </xf>
    <xf numFmtId="49" fontId="19" fillId="0" borderId="1" xfId="4" applyNumberFormat="1" applyBorder="1" applyAlignment="1">
      <alignment horizontal="center" vertical="center" wrapText="1"/>
    </xf>
    <xf numFmtId="0" fontId="19" fillId="0" borderId="44" xfId="4" applyBorder="1" applyAlignment="1">
      <alignment horizontal="center" vertical="center" wrapText="1"/>
    </xf>
    <xf numFmtId="0" fontId="29" fillId="0" borderId="1" xfId="4" applyFont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center" wrapText="1"/>
    </xf>
    <xf numFmtId="0" fontId="19" fillId="0" borderId="32" xfId="4" applyBorder="1" applyAlignment="1">
      <alignment horizontal="center" vertical="center" wrapText="1"/>
    </xf>
    <xf numFmtId="0" fontId="29" fillId="0" borderId="32" xfId="4" applyFont="1" applyFill="1" applyBorder="1" applyAlignment="1">
      <alignment horizontal="center" vertical="center" wrapText="1"/>
    </xf>
    <xf numFmtId="0" fontId="19" fillId="0" borderId="25" xfId="4" applyBorder="1" applyAlignment="1">
      <alignment horizontal="center" vertical="center" wrapText="1"/>
    </xf>
    <xf numFmtId="0" fontId="29" fillId="0" borderId="29" xfId="4" applyFont="1" applyFill="1" applyBorder="1" applyAlignment="1">
      <alignment horizontal="center" vertical="center" wrapText="1"/>
    </xf>
    <xf numFmtId="0" fontId="19" fillId="0" borderId="14" xfId="4" applyBorder="1"/>
    <xf numFmtId="0" fontId="19" fillId="0" borderId="1" xfId="4" applyBorder="1" applyAlignment="1">
      <alignment horizontal="center"/>
    </xf>
    <xf numFmtId="49" fontId="19" fillId="0" borderId="1" xfId="4" applyNumberFormat="1" applyBorder="1" applyAlignment="1">
      <alignment horizontal="center"/>
    </xf>
    <xf numFmtId="49" fontId="19" fillId="0" borderId="22" xfId="4" applyNumberFormat="1" applyBorder="1"/>
    <xf numFmtId="0" fontId="19" fillId="0" borderId="0" xfId="4" applyBorder="1" applyAlignment="1">
      <alignment horizontal="center"/>
    </xf>
    <xf numFmtId="0" fontId="19" fillId="0" borderId="0" xfId="4" applyBorder="1"/>
    <xf numFmtId="0" fontId="11" fillId="0" borderId="0" xfId="4" applyFont="1" applyBorder="1" applyAlignment="1">
      <alignment horizontal="center" vertical="center" wrapText="1"/>
    </xf>
    <xf numFmtId="49" fontId="19" fillId="0" borderId="12" xfId="4" applyNumberFormat="1" applyBorder="1" applyAlignment="1">
      <alignment horizontal="center"/>
    </xf>
    <xf numFmtId="0" fontId="21" fillId="0" borderId="0" xfId="4" applyFont="1"/>
    <xf numFmtId="0" fontId="16" fillId="0" borderId="12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4" fillId="0" borderId="10" xfId="4" applyFont="1" applyBorder="1" applyAlignment="1">
      <alignment horizontal="center" vertical="center" wrapText="1"/>
    </xf>
    <xf numFmtId="0" fontId="19" fillId="0" borderId="28" xfId="4" applyBorder="1" applyAlignment="1">
      <alignment horizontal="center"/>
    </xf>
    <xf numFmtId="0" fontId="19" fillId="0" borderId="12" xfId="4" applyBorder="1" applyAlignment="1">
      <alignment horizontal="center"/>
    </xf>
    <xf numFmtId="0" fontId="12" fillId="0" borderId="8" xfId="4" applyFont="1" applyBorder="1" applyAlignment="1">
      <alignment horizontal="center" vertical="center" wrapText="1"/>
    </xf>
    <xf numFmtId="49" fontId="19" fillId="0" borderId="13" xfId="4" applyNumberFormat="1" applyBorder="1" applyAlignment="1">
      <alignment horizontal="center"/>
    </xf>
    <xf numFmtId="49" fontId="19" fillId="0" borderId="13" xfId="4" applyNumberFormat="1" applyBorder="1" applyAlignment="1">
      <alignment horizontal="center" vertical="center" wrapText="1"/>
    </xf>
    <xf numFmtId="0" fontId="19" fillId="0" borderId="35" xfId="4" applyBorder="1" applyAlignment="1">
      <alignment horizontal="center" vertical="center" wrapText="1"/>
    </xf>
    <xf numFmtId="0" fontId="19" fillId="0" borderId="33" xfId="4" applyBorder="1" applyAlignment="1">
      <alignment horizontal="center" vertical="center" wrapText="1"/>
    </xf>
    <xf numFmtId="0" fontId="19" fillId="0" borderId="14" xfId="4" applyBorder="1" applyAlignment="1">
      <alignment horizontal="center" vertical="center" wrapText="1"/>
    </xf>
    <xf numFmtId="0" fontId="22" fillId="0" borderId="49" xfId="4" applyFont="1" applyBorder="1" applyAlignment="1">
      <alignment horizontal="center" vertical="center" wrapText="1"/>
    </xf>
    <xf numFmtId="0" fontId="19" fillId="0" borderId="13" xfId="4" applyBorder="1" applyAlignment="1">
      <alignment horizontal="center" vertical="center" wrapText="1"/>
    </xf>
    <xf numFmtId="0" fontId="22" fillId="0" borderId="47" xfId="4" applyFont="1" applyBorder="1" applyAlignment="1">
      <alignment horizontal="center" vertical="center" wrapText="1"/>
    </xf>
    <xf numFmtId="164" fontId="19" fillId="0" borderId="22" xfId="4" applyNumberFormat="1" applyBorder="1" applyAlignment="1">
      <alignment horizontal="center" vertical="center" wrapText="1"/>
    </xf>
    <xf numFmtId="2" fontId="19" fillId="0" borderId="0" xfId="4" applyNumberFormat="1" applyBorder="1" applyAlignment="1">
      <alignment horizontal="center" vertical="center" wrapText="1"/>
    </xf>
    <xf numFmtId="0" fontId="22" fillId="0" borderId="44" xfId="4" applyFont="1" applyBorder="1" applyAlignment="1">
      <alignment horizontal="center" vertical="center" wrapText="1"/>
    </xf>
    <xf numFmtId="2" fontId="19" fillId="0" borderId="24" xfId="4" applyNumberFormat="1" applyBorder="1" applyAlignment="1">
      <alignment horizontal="center" vertical="center" wrapText="1"/>
    </xf>
    <xf numFmtId="0" fontId="19" fillId="0" borderId="51" xfId="4" applyBorder="1" applyAlignment="1">
      <alignment horizontal="center" vertical="center" wrapText="1"/>
    </xf>
    <xf numFmtId="0" fontId="19" fillId="0" borderId="54" xfId="4" applyBorder="1" applyAlignment="1">
      <alignment horizontal="center" vertical="center" wrapText="1"/>
    </xf>
    <xf numFmtId="0" fontId="19" fillId="0" borderId="16" xfId="4" applyBorder="1" applyAlignment="1">
      <alignment horizontal="center" vertical="center" wrapText="1"/>
    </xf>
    <xf numFmtId="0" fontId="22" fillId="0" borderId="53" xfId="4" applyFont="1" applyBorder="1" applyAlignment="1">
      <alignment horizontal="center" vertical="center" wrapText="1"/>
    </xf>
    <xf numFmtId="2" fontId="19" fillId="0" borderId="14" xfId="4" applyNumberFormat="1" applyBorder="1" applyAlignment="1">
      <alignment horizontal="center" vertical="center" wrapText="1"/>
    </xf>
    <xf numFmtId="2" fontId="19" fillId="0" borderId="0" xfId="4" applyNumberFormat="1" applyFill="1" applyBorder="1" applyAlignment="1">
      <alignment horizontal="center" vertical="center" wrapText="1"/>
    </xf>
    <xf numFmtId="0" fontId="19" fillId="0" borderId="0" xfId="4" applyFill="1" applyBorder="1" applyAlignment="1">
      <alignment horizontal="center" vertical="center" wrapText="1"/>
    </xf>
    <xf numFmtId="164" fontId="19" fillId="0" borderId="11" xfId="4" applyNumberFormat="1" applyBorder="1" applyAlignment="1">
      <alignment horizontal="center" vertical="center" wrapText="1"/>
    </xf>
    <xf numFmtId="0" fontId="18" fillId="0" borderId="0" xfId="5" quotePrefix="1" applyFont="1" applyAlignment="1">
      <alignment horizontal="left"/>
    </xf>
    <xf numFmtId="2" fontId="19" fillId="0" borderId="0" xfId="5" applyNumberFormat="1" applyFont="1" applyAlignment="1">
      <alignment horizontal="left"/>
    </xf>
    <xf numFmtId="0" fontId="18" fillId="0" borderId="0" xfId="5" applyFont="1"/>
    <xf numFmtId="0" fontId="17" fillId="0" borderId="0" xfId="5" applyFont="1" applyAlignment="1">
      <alignment horizontal="left"/>
    </xf>
    <xf numFmtId="0" fontId="11" fillId="0" borderId="11" xfId="4" applyFont="1" applyBorder="1" applyAlignment="1">
      <alignment horizontal="center" vertical="center" wrapText="1"/>
    </xf>
    <xf numFmtId="0" fontId="19" fillId="0" borderId="2" xfId="4" applyBorder="1"/>
    <xf numFmtId="0" fontId="19" fillId="0" borderId="2" xfId="4" applyBorder="1" applyAlignment="1">
      <alignment horizontal="center"/>
    </xf>
    <xf numFmtId="0" fontId="19" fillId="0" borderId="16" xfId="4" applyBorder="1" applyAlignment="1">
      <alignment horizontal="center"/>
    </xf>
    <xf numFmtId="0" fontId="20" fillId="0" borderId="0" xfId="4" applyFont="1" applyBorder="1" applyAlignment="1">
      <alignment horizontal="center"/>
    </xf>
    <xf numFmtId="2" fontId="19" fillId="0" borderId="0" xfId="4" applyNumberFormat="1" applyBorder="1"/>
    <xf numFmtId="2" fontId="19" fillId="0" borderId="0" xfId="4" applyNumberFormat="1" applyAlignment="1">
      <alignment horizontal="center"/>
    </xf>
    <xf numFmtId="0" fontId="19" fillId="0" borderId="0" xfId="4" applyBorder="1" applyAlignment="1">
      <alignment vertical="top" wrapText="1"/>
    </xf>
    <xf numFmtId="0" fontId="11" fillId="0" borderId="2" xfId="4" applyFont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0" fontId="16" fillId="0" borderId="41" xfId="4" applyFont="1" applyBorder="1" applyAlignment="1">
      <alignment horizontal="center" vertical="center" wrapText="1"/>
    </xf>
    <xf numFmtId="0" fontId="19" fillId="0" borderId="8" xfId="4" applyBorder="1" applyAlignment="1">
      <alignment horizontal="center"/>
    </xf>
    <xf numFmtId="0" fontId="19" fillId="0" borderId="9" xfId="4" applyBorder="1" applyAlignment="1">
      <alignment horizontal="center"/>
    </xf>
    <xf numFmtId="49" fontId="19" fillId="0" borderId="13" xfId="4" applyNumberFormat="1" applyBorder="1"/>
    <xf numFmtId="0" fontId="22" fillId="0" borderId="21" xfId="4" applyFont="1" applyBorder="1" applyAlignment="1">
      <alignment horizontal="center"/>
    </xf>
    <xf numFmtId="2" fontId="22" fillId="0" borderId="14" xfId="4" applyNumberFormat="1" applyFont="1" applyBorder="1" applyAlignment="1">
      <alignment horizontal="center"/>
    </xf>
    <xf numFmtId="0" fontId="22" fillId="0" borderId="0" xfId="4" applyFont="1" applyBorder="1" applyAlignment="1">
      <alignment horizontal="center"/>
    </xf>
    <xf numFmtId="2" fontId="19" fillId="0" borderId="14" xfId="4" applyNumberFormat="1" applyBorder="1" applyAlignment="1">
      <alignment horizontal="center"/>
    </xf>
    <xf numFmtId="0" fontId="19" fillId="0" borderId="18" xfId="4" applyBorder="1" applyAlignment="1">
      <alignment horizontal="center"/>
    </xf>
    <xf numFmtId="0" fontId="22" fillId="0" borderId="26" xfId="4" applyFont="1" applyBorder="1" applyAlignment="1">
      <alignment horizontal="center"/>
    </xf>
    <xf numFmtId="2" fontId="22" fillId="0" borderId="0" xfId="4" applyNumberFormat="1" applyFont="1" applyBorder="1" applyAlignment="1">
      <alignment horizontal="center"/>
    </xf>
    <xf numFmtId="2" fontId="19" fillId="0" borderId="0" xfId="4" applyNumberFormat="1" applyBorder="1" applyAlignment="1">
      <alignment horizontal="center"/>
    </xf>
    <xf numFmtId="0" fontId="19" fillId="0" borderId="20" xfId="4" applyBorder="1" applyAlignment="1">
      <alignment horizontal="center"/>
    </xf>
    <xf numFmtId="0" fontId="22" fillId="0" borderId="20" xfId="4" applyFont="1" applyBorder="1" applyAlignment="1">
      <alignment horizontal="center"/>
    </xf>
    <xf numFmtId="0" fontId="19" fillId="0" borderId="28" xfId="1" applyFont="1" applyBorder="1" applyAlignment="1"/>
    <xf numFmtId="0" fontId="19" fillId="0" borderId="7" xfId="1" applyFont="1" applyBorder="1" applyAlignment="1"/>
    <xf numFmtId="0" fontId="22" fillId="0" borderId="16" xfId="4" applyFont="1" applyBorder="1" applyAlignment="1">
      <alignment horizontal="center"/>
    </xf>
    <xf numFmtId="0" fontId="19" fillId="0" borderId="0" xfId="4" applyFill="1" applyBorder="1"/>
    <xf numFmtId="49" fontId="19" fillId="0" borderId="11" xfId="4" applyNumberFormat="1" applyBorder="1"/>
    <xf numFmtId="0" fontId="19" fillId="0" borderId="16" xfId="4" applyBorder="1"/>
    <xf numFmtId="0" fontId="0" fillId="0" borderId="4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9" xfId="4" applyFont="1" applyBorder="1" applyAlignment="1">
      <alignment horizontal="center" vertical="center" wrapText="1"/>
    </xf>
    <xf numFmtId="0" fontId="11" fillId="0" borderId="0" xfId="4" applyFont="1" applyAlignment="1"/>
    <xf numFmtId="0" fontId="20" fillId="0" borderId="0" xfId="4" applyFont="1" applyBorder="1" applyAlignment="1">
      <alignment horizontal="center" vertical="top" wrapText="1"/>
    </xf>
    <xf numFmtId="0" fontId="19" fillId="0" borderId="5" xfId="4" applyBorder="1" applyAlignment="1">
      <alignment horizontal="center" vertical="center" wrapText="1"/>
    </xf>
    <xf numFmtId="0" fontId="19" fillId="0" borderId="20" xfId="4" applyBorder="1" applyAlignment="1">
      <alignment horizontal="center"/>
    </xf>
    <xf numFmtId="0" fontId="19" fillId="0" borderId="19" xfId="4" applyBorder="1" applyAlignment="1">
      <alignment horizontal="center"/>
    </xf>
    <xf numFmtId="0" fontId="8" fillId="0" borderId="0" xfId="6"/>
    <xf numFmtId="14" fontId="8" fillId="0" borderId="0" xfId="6" applyNumberFormat="1"/>
    <xf numFmtId="20" fontId="8" fillId="0" borderId="0" xfId="6" applyNumberFormat="1"/>
    <xf numFmtId="0" fontId="8" fillId="0" borderId="0" xfId="6" applyAlignment="1">
      <alignment horizontal="center"/>
    </xf>
    <xf numFmtId="20" fontId="8" fillId="0" borderId="0" xfId="6" applyNumberFormat="1" applyAlignment="1">
      <alignment horizontal="center"/>
    </xf>
    <xf numFmtId="1" fontId="8" fillId="0" borderId="0" xfId="6" applyNumberFormat="1"/>
    <xf numFmtId="0" fontId="8" fillId="0" borderId="0" xfId="6" applyNumberFormat="1"/>
    <xf numFmtId="164" fontId="8" fillId="0" borderId="0" xfId="6" applyNumberFormat="1"/>
    <xf numFmtId="0" fontId="25" fillId="0" borderId="1" xfId="4" applyFont="1" applyFill="1" applyBorder="1" applyAlignment="1">
      <alignment horizontal="center" vertical="center" wrapText="1"/>
    </xf>
    <xf numFmtId="16" fontId="19" fillId="0" borderId="1" xfId="4" applyNumberFormat="1" applyBorder="1" applyAlignment="1">
      <alignment horizontal="center" vertical="center"/>
    </xf>
    <xf numFmtId="2" fontId="20" fillId="0" borderId="1" xfId="4" applyNumberFormat="1" applyFont="1" applyBorder="1" applyAlignment="1">
      <alignment horizontal="center" vertical="center" wrapText="1"/>
    </xf>
    <xf numFmtId="15" fontId="8" fillId="0" borderId="0" xfId="6" applyNumberFormat="1"/>
    <xf numFmtId="0" fontId="8" fillId="0" borderId="1" xfId="6" applyBorder="1" applyAlignment="1">
      <alignment horizontal="center" vertical="center" wrapText="1"/>
    </xf>
    <xf numFmtId="0" fontId="8" fillId="0" borderId="1" xfId="6" applyBorder="1" applyAlignment="1">
      <alignment horizontal="center"/>
    </xf>
    <xf numFmtId="0" fontId="8" fillId="0" borderId="1" xfId="6" applyBorder="1"/>
    <xf numFmtId="0" fontId="11" fillId="0" borderId="14" xfId="4" applyFont="1" applyBorder="1" applyAlignment="1">
      <alignment horizontal="center" vertical="center" wrapText="1"/>
    </xf>
    <xf numFmtId="0" fontId="19" fillId="0" borderId="13" xfId="1" applyFont="1" applyBorder="1" applyAlignment="1"/>
    <xf numFmtId="0" fontId="19" fillId="0" borderId="15" xfId="1" applyFont="1" applyBorder="1" applyAlignment="1"/>
    <xf numFmtId="0" fontId="22" fillId="0" borderId="14" xfId="4" applyFont="1" applyBorder="1" applyAlignment="1">
      <alignment horizontal="center"/>
    </xf>
    <xf numFmtId="2" fontId="22" fillId="0" borderId="16" xfId="4" applyNumberFormat="1" applyFont="1" applyBorder="1" applyAlignment="1">
      <alignment horizontal="center"/>
    </xf>
    <xf numFmtId="0" fontId="8" fillId="0" borderId="0" xfId="6" applyAlignment="1">
      <alignment horizontal="left"/>
    </xf>
    <xf numFmtId="2" fontId="8" fillId="0" borderId="1" xfId="6" applyNumberFormat="1" applyBorder="1" applyAlignment="1">
      <alignment horizontal="center" vertical="center" wrapText="1"/>
    </xf>
    <xf numFmtId="2" fontId="33" fillId="0" borderId="1" xfId="6" applyNumberFormat="1" applyFont="1" applyBorder="1" applyAlignment="1">
      <alignment horizontal="center" vertical="center" wrapText="1"/>
    </xf>
    <xf numFmtId="14" fontId="8" fillId="0" borderId="59" xfId="6" applyNumberFormat="1" applyBorder="1"/>
    <xf numFmtId="0" fontId="8" fillId="0" borderId="60" xfId="6" applyBorder="1" applyAlignment="1">
      <alignment horizontal="center"/>
    </xf>
    <xf numFmtId="0" fontId="8" fillId="0" borderId="60" xfId="6" applyBorder="1"/>
    <xf numFmtId="49" fontId="8" fillId="0" borderId="60" xfId="6" applyNumberFormat="1" applyBorder="1" applyAlignment="1">
      <alignment horizontal="center"/>
    </xf>
    <xf numFmtId="164" fontId="8" fillId="0" borderId="60" xfId="6" applyNumberFormat="1" applyBorder="1" applyAlignment="1">
      <alignment horizontal="center"/>
    </xf>
    <xf numFmtId="0" fontId="8" fillId="0" borderId="42" xfId="6" applyBorder="1"/>
    <xf numFmtId="0" fontId="8" fillId="0" borderId="0" xfId="6" applyBorder="1" applyAlignment="1">
      <alignment horizontal="center"/>
    </xf>
    <xf numFmtId="0" fontId="8" fillId="0" borderId="0" xfId="6" applyBorder="1"/>
    <xf numFmtId="49" fontId="8" fillId="0" borderId="0" xfId="6" applyNumberFormat="1" applyBorder="1" applyAlignment="1">
      <alignment horizontal="center"/>
    </xf>
    <xf numFmtId="164" fontId="8" fillId="0" borderId="0" xfId="6" applyNumberFormat="1" applyBorder="1" applyAlignment="1">
      <alignment horizontal="center"/>
    </xf>
    <xf numFmtId="0" fontId="8" fillId="0" borderId="44" xfId="6" applyBorder="1"/>
    <xf numFmtId="0" fontId="8" fillId="0" borderId="58" xfId="6" applyBorder="1" applyAlignment="1">
      <alignment horizontal="center"/>
    </xf>
    <xf numFmtId="0" fontId="8" fillId="0" borderId="58" xfId="6" applyBorder="1"/>
    <xf numFmtId="49" fontId="8" fillId="0" borderId="58" xfId="6" applyNumberFormat="1" applyBorder="1" applyAlignment="1">
      <alignment horizontal="center"/>
    </xf>
    <xf numFmtId="164" fontId="8" fillId="0" borderId="58" xfId="6" applyNumberFormat="1" applyBorder="1" applyAlignment="1">
      <alignment horizontal="center"/>
    </xf>
    <xf numFmtId="0" fontId="8" fillId="3" borderId="0" xfId="6" applyFill="1" applyBorder="1" applyAlignment="1">
      <alignment horizontal="center"/>
    </xf>
    <xf numFmtId="166" fontId="8" fillId="0" borderId="0" xfId="6" applyNumberFormat="1"/>
    <xf numFmtId="15" fontId="0" fillId="0" borderId="0" xfId="0" applyNumberFormat="1"/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 wrapText="1"/>
    </xf>
    <xf numFmtId="14" fontId="0" fillId="0" borderId="59" xfId="0" applyNumberFormat="1" applyBorder="1"/>
    <xf numFmtId="0" fontId="0" fillId="0" borderId="60" xfId="0" applyBorder="1" applyAlignment="1">
      <alignment horizontal="center"/>
    </xf>
    <xf numFmtId="0" fontId="0" fillId="0" borderId="60" xfId="0" applyBorder="1"/>
    <xf numFmtId="49" fontId="0" fillId="0" borderId="60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2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" fontId="0" fillId="0" borderId="0" xfId="0" applyNumberFormat="1"/>
    <xf numFmtId="0" fontId="0" fillId="0" borderId="0" xfId="0" applyFill="1" applyBorder="1" applyAlignment="1">
      <alignment horizontal="center"/>
    </xf>
    <xf numFmtId="164" fontId="8" fillId="0" borderId="37" xfId="6" applyNumberFormat="1" applyBorder="1" applyAlignment="1">
      <alignment horizontal="center"/>
    </xf>
    <xf numFmtId="164" fontId="8" fillId="0" borderId="39" xfId="6" applyNumberFormat="1" applyBorder="1" applyAlignment="1">
      <alignment horizontal="center"/>
    </xf>
    <xf numFmtId="49" fontId="8" fillId="0" borderId="0" xfId="6" applyNumberFormat="1" applyFill="1" applyBorder="1" applyAlignment="1">
      <alignment horizontal="center"/>
    </xf>
    <xf numFmtId="0" fontId="8" fillId="0" borderId="0" xfId="6" applyFill="1" applyBorder="1" applyAlignment="1">
      <alignment horizontal="center"/>
    </xf>
    <xf numFmtId="164" fontId="8" fillId="0" borderId="0" xfId="6" applyNumberFormat="1" applyFill="1" applyBorder="1" applyAlignment="1">
      <alignment horizontal="center"/>
    </xf>
    <xf numFmtId="164" fontId="8" fillId="0" borderId="39" xfId="6" applyNumberFormat="1" applyFill="1" applyBorder="1" applyAlignment="1">
      <alignment horizontal="center"/>
    </xf>
    <xf numFmtId="164" fontId="8" fillId="0" borderId="0" xfId="6" applyNumberFormat="1" applyFill="1"/>
    <xf numFmtId="0" fontId="8" fillId="0" borderId="0" xfId="6" applyFill="1"/>
    <xf numFmtId="0" fontId="34" fillId="0" borderId="0" xfId="6" applyFont="1" applyFill="1" applyBorder="1" applyAlignment="1">
      <alignment horizontal="center"/>
    </xf>
    <xf numFmtId="164" fontId="34" fillId="0" borderId="0" xfId="6" applyNumberFormat="1" applyFont="1" applyFill="1" applyBorder="1" applyAlignment="1">
      <alignment horizontal="center"/>
    </xf>
    <xf numFmtId="49" fontId="8" fillId="0" borderId="60" xfId="6" applyNumberFormat="1" applyFill="1" applyBorder="1" applyAlignment="1">
      <alignment horizontal="center"/>
    </xf>
    <xf numFmtId="0" fontId="8" fillId="0" borderId="60" xfId="6" applyFill="1" applyBorder="1" applyAlignment="1">
      <alignment horizontal="center"/>
    </xf>
    <xf numFmtId="164" fontId="8" fillId="0" borderId="60" xfId="6" applyNumberFormat="1" applyFill="1" applyBorder="1" applyAlignment="1">
      <alignment horizontal="center"/>
    </xf>
    <xf numFmtId="164" fontId="8" fillId="0" borderId="37" xfId="6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34" fillId="0" borderId="0" xfId="0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58" xfId="0" applyBorder="1" applyAlignment="1">
      <alignment horizontal="center"/>
    </xf>
    <xf numFmtId="0" fontId="0" fillId="0" borderId="58" xfId="0" applyBorder="1"/>
    <xf numFmtId="49" fontId="0" fillId="0" borderId="58" xfId="0" applyNumberFormat="1" applyBorder="1" applyAlignment="1">
      <alignment horizontal="center"/>
    </xf>
    <xf numFmtId="0" fontId="0" fillId="0" borderId="58" xfId="0" applyFill="1" applyBorder="1" applyAlignment="1">
      <alignment horizontal="center"/>
    </xf>
    <xf numFmtId="164" fontId="0" fillId="0" borderId="58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49" fontId="0" fillId="0" borderId="60" xfId="0" applyNumberForma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8" fillId="0" borderId="58" xfId="6" applyFill="1" applyBorder="1" applyAlignment="1">
      <alignment horizontal="center"/>
    </xf>
    <xf numFmtId="164" fontId="8" fillId="0" borderId="58" xfId="6" applyNumberFormat="1" applyFill="1" applyBorder="1" applyAlignment="1">
      <alignment horizontal="center"/>
    </xf>
    <xf numFmtId="164" fontId="8" fillId="0" borderId="38" xfId="6" applyNumberFormat="1" applyFill="1" applyBorder="1" applyAlignment="1">
      <alignment horizontal="center"/>
    </xf>
    <xf numFmtId="164" fontId="8" fillId="0" borderId="38" xfId="6" applyNumberFormat="1" applyBorder="1" applyAlignment="1">
      <alignment horizontal="center"/>
    </xf>
    <xf numFmtId="0" fontId="32" fillId="0" borderId="0" xfId="6" applyFont="1"/>
    <xf numFmtId="0" fontId="19" fillId="3" borderId="0" xfId="4" applyFill="1"/>
    <xf numFmtId="0" fontId="0" fillId="0" borderId="59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7" xfId="0" applyNumberFormat="1" applyBorder="1"/>
    <xf numFmtId="0" fontId="0" fillId="0" borderId="39" xfId="0" applyBorder="1"/>
    <xf numFmtId="2" fontId="0" fillId="0" borderId="39" xfId="0" applyNumberFormat="1" applyBorder="1"/>
    <xf numFmtId="0" fontId="0" fillId="0" borderId="38" xfId="0" applyBorder="1"/>
    <xf numFmtId="14" fontId="0" fillId="0" borderId="32" xfId="0" applyNumberFormat="1" applyBorder="1"/>
    <xf numFmtId="14" fontId="0" fillId="0" borderId="40" xfId="0" applyNumberFormat="1" applyBorder="1"/>
    <xf numFmtId="0" fontId="11" fillId="0" borderId="0" xfId="4" applyFont="1" applyAlignment="1"/>
    <xf numFmtId="0" fontId="19" fillId="0" borderId="0" xfId="4" applyFill="1" applyAlignment="1">
      <alignment horizontal="center"/>
    </xf>
    <xf numFmtId="0" fontId="24" fillId="0" borderId="0" xfId="4" applyFont="1" applyFill="1"/>
    <xf numFmtId="2" fontId="19" fillId="0" borderId="0" xfId="4" applyNumberFormat="1" applyFill="1"/>
    <xf numFmtId="2" fontId="19" fillId="0" borderId="0" xfId="4" applyNumberFormat="1" applyFill="1" applyAlignment="1">
      <alignment horizontal="center"/>
    </xf>
    <xf numFmtId="49" fontId="19" fillId="0" borderId="0" xfId="4" applyNumberFormat="1" applyFill="1"/>
    <xf numFmtId="0" fontId="11" fillId="0" borderId="0" xfId="4" applyFont="1" applyFill="1"/>
    <xf numFmtId="0" fontId="24" fillId="0" borderId="0" xfId="4" applyFont="1" applyFill="1" applyAlignment="1">
      <alignment horizontal="center"/>
    </xf>
    <xf numFmtId="0" fontId="19" fillId="0" borderId="0" xfId="4" applyFill="1" applyAlignment="1">
      <alignment horizontal="center" vertical="center" wrapText="1"/>
    </xf>
    <xf numFmtId="2" fontId="14" fillId="0" borderId="12" xfId="4" applyNumberFormat="1" applyFont="1" applyFill="1" applyBorder="1" applyAlignment="1">
      <alignment horizontal="center" vertical="center" wrapText="1"/>
    </xf>
    <xf numFmtId="0" fontId="14" fillId="0" borderId="9" xfId="4" applyFont="1" applyFill="1" applyBorder="1" applyAlignment="1">
      <alignment horizontal="center" vertical="center" wrapText="1"/>
    </xf>
    <xf numFmtId="0" fontId="14" fillId="0" borderId="10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2" fontId="14" fillId="0" borderId="10" xfId="4" applyNumberFormat="1" applyFont="1" applyFill="1" applyBorder="1" applyAlignment="1">
      <alignment horizontal="center" vertical="center" wrapText="1"/>
    </xf>
    <xf numFmtId="0" fontId="16" fillId="0" borderId="12" xfId="4" applyFont="1" applyFill="1" applyBorder="1" applyAlignment="1">
      <alignment horizontal="center" vertical="center" wrapText="1"/>
    </xf>
    <xf numFmtId="0" fontId="16" fillId="0" borderId="9" xfId="4" applyFont="1" applyFill="1" applyBorder="1" applyAlignment="1">
      <alignment horizontal="center" vertical="center" wrapText="1"/>
    </xf>
    <xf numFmtId="0" fontId="16" fillId="0" borderId="10" xfId="4" applyFont="1" applyFill="1" applyBorder="1" applyAlignment="1">
      <alignment horizontal="center" vertical="center" wrapText="1"/>
    </xf>
    <xf numFmtId="0" fontId="19" fillId="0" borderId="2" xfId="4" applyFill="1" applyBorder="1" applyAlignment="1">
      <alignment horizontal="center" vertical="center" wrapText="1"/>
    </xf>
    <xf numFmtId="0" fontId="19" fillId="0" borderId="6" xfId="4" applyFill="1" applyBorder="1" applyAlignment="1">
      <alignment horizontal="center" vertical="center" wrapText="1"/>
    </xf>
    <xf numFmtId="2" fontId="41" fillId="0" borderId="2" xfId="4" applyNumberFormat="1" applyFont="1" applyFill="1" applyBorder="1" applyAlignment="1">
      <alignment horizontal="center" vertical="center" wrapText="1"/>
    </xf>
    <xf numFmtId="2" fontId="12" fillId="0" borderId="2" xfId="4" applyNumberFormat="1" applyFont="1" applyFill="1" applyBorder="1" applyAlignment="1">
      <alignment horizontal="center" vertical="center" wrapText="1"/>
    </xf>
    <xf numFmtId="2" fontId="19" fillId="0" borderId="2" xfId="4" applyNumberForma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Continuous" vertical="center" wrapText="1"/>
    </xf>
    <xf numFmtId="0" fontId="12" fillId="0" borderId="7" xfId="4" applyFont="1" applyFill="1" applyBorder="1" applyAlignment="1">
      <alignment horizontal="center" vertical="center" wrapText="1"/>
    </xf>
    <xf numFmtId="49" fontId="19" fillId="0" borderId="2" xfId="4" applyNumberFormat="1" applyFill="1" applyBorder="1" applyAlignment="1">
      <alignment horizontal="center"/>
    </xf>
    <xf numFmtId="49" fontId="24" fillId="0" borderId="2" xfId="4" applyNumberFormat="1" applyFont="1" applyFill="1" applyBorder="1" applyAlignment="1">
      <alignment horizontal="center"/>
    </xf>
    <xf numFmtId="49" fontId="19" fillId="0" borderId="12" xfId="4" applyNumberFormat="1" applyFill="1" applyBorder="1" applyAlignment="1">
      <alignment horizontal="center"/>
    </xf>
    <xf numFmtId="2" fontId="41" fillId="0" borderId="2" xfId="4" applyNumberFormat="1" applyFont="1" applyFill="1" applyBorder="1" applyAlignment="1">
      <alignment horizontal="center"/>
    </xf>
    <xf numFmtId="2" fontId="19" fillId="0" borderId="2" xfId="4" applyNumberFormat="1" applyFill="1" applyBorder="1" applyAlignment="1">
      <alignment horizontal="center"/>
    </xf>
    <xf numFmtId="2" fontId="19" fillId="0" borderId="12" xfId="4" applyNumberFormat="1" applyFill="1" applyBorder="1" applyAlignment="1">
      <alignment horizontal="center"/>
    </xf>
    <xf numFmtId="49" fontId="19" fillId="0" borderId="9" xfId="4" applyNumberFormat="1" applyFill="1" applyBorder="1" applyAlignment="1">
      <alignment horizontal="center"/>
    </xf>
    <xf numFmtId="49" fontId="19" fillId="0" borderId="10" xfId="4" applyNumberFormat="1" applyFill="1" applyBorder="1" applyAlignment="1">
      <alignment horizontal="center"/>
    </xf>
    <xf numFmtId="2" fontId="19" fillId="0" borderId="28" xfId="4" applyNumberFormat="1" applyFill="1" applyBorder="1" applyAlignment="1">
      <alignment horizontal="center"/>
    </xf>
    <xf numFmtId="49" fontId="19" fillId="0" borderId="28" xfId="4" applyNumberFormat="1" applyFill="1" applyBorder="1" applyAlignment="1">
      <alignment horizontal="center"/>
    </xf>
    <xf numFmtId="49" fontId="19" fillId="0" borderId="13" xfId="4" applyNumberFormat="1" applyFill="1" applyBorder="1" applyAlignment="1">
      <alignment horizontal="center"/>
    </xf>
    <xf numFmtId="0" fontId="19" fillId="0" borderId="31" xfId="4" applyFill="1" applyBorder="1" applyAlignment="1">
      <alignment horizontal="center"/>
    </xf>
    <xf numFmtId="0" fontId="19" fillId="0" borderId="14" xfId="4" applyFill="1" applyBorder="1" applyAlignment="1">
      <alignment horizontal="center"/>
    </xf>
    <xf numFmtId="14" fontId="24" fillId="0" borderId="13" xfId="4" applyNumberFormat="1" applyFont="1" applyFill="1" applyBorder="1"/>
    <xf numFmtId="0" fontId="22" fillId="0" borderId="13" xfId="4" applyFont="1" applyFill="1" applyBorder="1" applyAlignment="1">
      <alignment horizontal="center"/>
    </xf>
    <xf numFmtId="0" fontId="42" fillId="0" borderId="30" xfId="4" applyFont="1" applyFill="1" applyBorder="1" applyAlignment="1">
      <alignment horizontal="center"/>
    </xf>
    <xf numFmtId="2" fontId="20" fillId="0" borderId="35" xfId="4" applyNumberFormat="1" applyFont="1" applyBorder="1" applyAlignment="1">
      <alignment horizontal="center"/>
    </xf>
    <xf numFmtId="0" fontId="20" fillId="0" borderId="35" xfId="4" applyFont="1" applyBorder="1" applyAlignment="1">
      <alignment horizontal="center"/>
    </xf>
    <xf numFmtId="164" fontId="20" fillId="0" borderId="35" xfId="4" applyNumberFormat="1" applyFont="1" applyBorder="1" applyAlignment="1">
      <alignment horizontal="center"/>
    </xf>
    <xf numFmtId="0" fontId="19" fillId="0" borderId="30" xfId="4" applyFill="1" applyBorder="1" applyAlignment="1">
      <alignment horizontal="center"/>
    </xf>
    <xf numFmtId="0" fontId="20" fillId="0" borderId="62" xfId="4" applyFont="1" applyBorder="1" applyAlignment="1">
      <alignment horizontal="center"/>
    </xf>
    <xf numFmtId="2" fontId="20" fillId="0" borderId="30" xfId="4" applyNumberFormat="1" applyFont="1" applyBorder="1" applyAlignment="1">
      <alignment horizontal="center"/>
    </xf>
    <xf numFmtId="2" fontId="20" fillId="0" borderId="30" xfId="4" applyNumberFormat="1" applyFont="1" applyFill="1" applyBorder="1" applyAlignment="1">
      <alignment horizontal="center"/>
    </xf>
    <xf numFmtId="2" fontId="20" fillId="0" borderId="49" xfId="4" applyNumberFormat="1" applyFont="1" applyFill="1" applyBorder="1" applyAlignment="1">
      <alignment horizontal="center"/>
    </xf>
    <xf numFmtId="0" fontId="20" fillId="0" borderId="48" xfId="4" applyFont="1" applyFill="1" applyBorder="1" applyAlignment="1">
      <alignment horizontal="center"/>
    </xf>
    <xf numFmtId="0" fontId="19" fillId="0" borderId="22" xfId="4" applyFill="1" applyBorder="1" applyAlignment="1">
      <alignment horizontal="center"/>
    </xf>
    <xf numFmtId="0" fontId="19" fillId="0" borderId="34" xfId="4" applyFill="1" applyBorder="1" applyAlignment="1">
      <alignment horizontal="center"/>
    </xf>
    <xf numFmtId="0" fontId="19" fillId="0" borderId="0" xfId="4" applyFill="1" applyBorder="1" applyAlignment="1">
      <alignment horizontal="center"/>
    </xf>
    <xf numFmtId="0" fontId="24" fillId="0" borderId="22" xfId="4" applyFont="1" applyFill="1" applyBorder="1"/>
    <xf numFmtId="0" fontId="22" fillId="0" borderId="63" xfId="4" applyFont="1" applyFill="1" applyBorder="1" applyAlignment="1">
      <alignment horizontal="center"/>
    </xf>
    <xf numFmtId="0" fontId="42" fillId="0" borderId="1" xfId="4" applyFont="1" applyFill="1" applyBorder="1" applyAlignment="1">
      <alignment horizontal="center"/>
    </xf>
    <xf numFmtId="2" fontId="20" fillId="0" borderId="1" xfId="4" applyNumberFormat="1" applyFont="1" applyFill="1" applyBorder="1" applyAlignment="1">
      <alignment horizontal="center"/>
    </xf>
    <xf numFmtId="0" fontId="19" fillId="0" borderId="1" xfId="4" applyFill="1" applyBorder="1" applyAlignment="1">
      <alignment horizontal="center"/>
    </xf>
    <xf numFmtId="164" fontId="20" fillId="0" borderId="1" xfId="4" applyNumberFormat="1" applyFont="1" applyFill="1" applyBorder="1" applyAlignment="1">
      <alignment horizontal="center"/>
    </xf>
    <xf numFmtId="2" fontId="20" fillId="0" borderId="47" xfId="4" applyNumberFormat="1" applyFont="1" applyFill="1" applyBorder="1" applyAlignment="1">
      <alignment horizontal="center"/>
    </xf>
    <xf numFmtId="0" fontId="20" fillId="0" borderId="4" xfId="4" applyFont="1" applyFill="1" applyBorder="1" applyAlignment="1">
      <alignment horizontal="center"/>
    </xf>
    <xf numFmtId="2" fontId="19" fillId="0" borderId="0" xfId="4" applyNumberFormat="1" applyFill="1" applyBorder="1"/>
    <xf numFmtId="164" fontId="19" fillId="0" borderId="0" xfId="4" applyNumberFormat="1" applyFill="1" applyBorder="1"/>
    <xf numFmtId="0" fontId="24" fillId="0" borderId="22" xfId="4" applyFont="1" applyFill="1" applyBorder="1" applyAlignment="1">
      <alignment horizontal="center"/>
    </xf>
    <xf numFmtId="0" fontId="22" fillId="0" borderId="64" xfId="4" applyFont="1" applyFill="1" applyBorder="1" applyAlignment="1">
      <alignment horizontal="center"/>
    </xf>
    <xf numFmtId="2" fontId="42" fillId="0" borderId="27" xfId="4" applyNumberFormat="1" applyFont="1" applyFill="1" applyBorder="1" applyAlignment="1">
      <alignment horizontal="center"/>
    </xf>
    <xf numFmtId="0" fontId="42" fillId="0" borderId="27" xfId="4" applyFont="1" applyFill="1" applyBorder="1" applyAlignment="1">
      <alignment horizontal="center"/>
    </xf>
    <xf numFmtId="0" fontId="20" fillId="0" borderId="27" xfId="4" applyFont="1" applyFill="1" applyBorder="1" applyAlignment="1">
      <alignment horizontal="center"/>
    </xf>
    <xf numFmtId="164" fontId="20" fillId="0" borderId="27" xfId="4" applyNumberFormat="1" applyFont="1" applyFill="1" applyBorder="1" applyAlignment="1">
      <alignment horizontal="center"/>
    </xf>
    <xf numFmtId="2" fontId="20" fillId="0" borderId="27" xfId="4" applyNumberFormat="1" applyFont="1" applyFill="1" applyBorder="1" applyAlignment="1">
      <alignment horizontal="center"/>
    </xf>
    <xf numFmtId="0" fontId="19" fillId="0" borderId="22" xfId="4" applyBorder="1" applyAlignment="1">
      <alignment horizontal="center"/>
    </xf>
    <xf numFmtId="0" fontId="19" fillId="0" borderId="34" xfId="4" applyBorder="1" applyAlignment="1">
      <alignment horizontal="center"/>
    </xf>
    <xf numFmtId="0" fontId="24" fillId="0" borderId="22" xfId="4" applyFont="1" applyBorder="1"/>
    <xf numFmtId="0" fontId="22" fillId="0" borderId="63" xfId="4" applyFont="1" applyBorder="1" applyAlignment="1">
      <alignment horizontal="center"/>
    </xf>
    <xf numFmtId="0" fontId="42" fillId="0" borderId="1" xfId="4" applyFont="1" applyBorder="1" applyAlignment="1">
      <alignment horizontal="center"/>
    </xf>
    <xf numFmtId="2" fontId="20" fillId="0" borderId="1" xfId="4" applyNumberFormat="1" applyFont="1" applyBorder="1" applyAlignment="1">
      <alignment horizontal="center"/>
    </xf>
    <xf numFmtId="164" fontId="20" fillId="0" borderId="1" xfId="4" applyNumberFormat="1" applyFont="1" applyBorder="1" applyAlignment="1">
      <alignment horizontal="center"/>
    </xf>
    <xf numFmtId="164" fontId="19" fillId="0" borderId="0" xfId="4" applyNumberFormat="1" applyBorder="1"/>
    <xf numFmtId="2" fontId="19" fillId="0" borderId="0" xfId="4" applyNumberFormat="1"/>
    <xf numFmtId="0" fontId="22" fillId="0" borderId="22" xfId="4" applyFont="1" applyFill="1" applyBorder="1" applyAlignment="1">
      <alignment horizontal="center"/>
    </xf>
    <xf numFmtId="2" fontId="42" fillId="0" borderId="1" xfId="4" applyNumberFormat="1" applyFont="1" applyFill="1" applyBorder="1" applyAlignment="1">
      <alignment horizontal="center"/>
    </xf>
    <xf numFmtId="0" fontId="20" fillId="0" borderId="1" xfId="4" applyFont="1" applyBorder="1" applyAlignment="1">
      <alignment horizontal="center"/>
    </xf>
    <xf numFmtId="2" fontId="20" fillId="0" borderId="32" xfId="4" applyNumberFormat="1" applyFont="1" applyFill="1" applyBorder="1" applyAlignment="1">
      <alignment horizontal="center"/>
    </xf>
    <xf numFmtId="0" fontId="20" fillId="0" borderId="32" xfId="4" applyFont="1" applyFill="1" applyBorder="1" applyAlignment="1">
      <alignment horizontal="center"/>
    </xf>
    <xf numFmtId="164" fontId="20" fillId="0" borderId="32" xfId="4" applyNumberFormat="1" applyFont="1" applyFill="1" applyBorder="1" applyAlignment="1">
      <alignment horizontal="center"/>
    </xf>
    <xf numFmtId="0" fontId="24" fillId="0" borderId="11" xfId="4" applyFont="1" applyFill="1" applyBorder="1"/>
    <xf numFmtId="0" fontId="22" fillId="0" borderId="11" xfId="4" applyFont="1" applyFill="1" applyBorder="1" applyAlignment="1">
      <alignment horizontal="center"/>
    </xf>
    <xf numFmtId="0" fontId="42" fillId="0" borderId="29" xfId="4" applyFont="1" applyFill="1" applyBorder="1" applyAlignment="1">
      <alignment horizontal="center"/>
    </xf>
    <xf numFmtId="2" fontId="20" fillId="0" borderId="29" xfId="4" applyNumberFormat="1" applyFont="1" applyFill="1" applyBorder="1" applyAlignment="1">
      <alignment horizontal="center"/>
    </xf>
    <xf numFmtId="0" fontId="19" fillId="0" borderId="29" xfId="4" applyFill="1" applyBorder="1" applyAlignment="1">
      <alignment horizontal="center"/>
    </xf>
    <xf numFmtId="164" fontId="20" fillId="0" borderId="29" xfId="4" applyNumberFormat="1" applyFont="1" applyFill="1" applyBorder="1" applyAlignment="1">
      <alignment horizontal="center"/>
    </xf>
    <xf numFmtId="0" fontId="20" fillId="0" borderId="52" xfId="4" applyFont="1" applyFill="1" applyBorder="1" applyAlignment="1">
      <alignment horizontal="center"/>
    </xf>
    <xf numFmtId="0" fontId="19" fillId="0" borderId="35" xfId="4" applyFill="1" applyBorder="1" applyAlignment="1">
      <alignment horizontal="center"/>
    </xf>
    <xf numFmtId="2" fontId="20" fillId="0" borderId="27" xfId="4" applyNumberFormat="1" applyFont="1" applyBorder="1" applyAlignment="1">
      <alignment horizontal="center"/>
    </xf>
    <xf numFmtId="0" fontId="20" fillId="0" borderId="27" xfId="4" applyFont="1" applyBorder="1" applyAlignment="1">
      <alignment horizontal="center"/>
    </xf>
    <xf numFmtId="164" fontId="20" fillId="0" borderId="27" xfId="4" applyNumberFormat="1" applyFont="1" applyBorder="1" applyAlignment="1">
      <alignment horizontal="center"/>
    </xf>
    <xf numFmtId="0" fontId="19" fillId="0" borderId="27" xfId="4" applyFill="1" applyBorder="1" applyAlignment="1">
      <alignment horizontal="center"/>
    </xf>
    <xf numFmtId="2" fontId="20" fillId="0" borderId="44" xfId="4" applyNumberFormat="1" applyFont="1" applyFill="1" applyBorder="1" applyAlignment="1">
      <alignment horizontal="center"/>
    </xf>
    <xf numFmtId="0" fontId="20" fillId="0" borderId="55" xfId="4" applyFont="1" applyFill="1" applyBorder="1" applyAlignment="1">
      <alignment horizontal="center"/>
    </xf>
    <xf numFmtId="0" fontId="24" fillId="0" borderId="42" xfId="4" applyFont="1" applyBorder="1"/>
    <xf numFmtId="165" fontId="20" fillId="0" borderId="4" xfId="4" applyNumberFormat="1" applyFont="1" applyFill="1" applyBorder="1" applyAlignment="1">
      <alignment horizontal="center"/>
    </xf>
    <xf numFmtId="0" fontId="19" fillId="0" borderId="40" xfId="4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20" fillId="0" borderId="1" xfId="4" applyFont="1" applyFill="1" applyBorder="1" applyAlignment="1">
      <alignment horizontal="center"/>
    </xf>
    <xf numFmtId="0" fontId="22" fillId="0" borderId="22" xfId="4" applyFont="1" applyBorder="1" applyAlignment="1">
      <alignment horizontal="center"/>
    </xf>
    <xf numFmtId="0" fontId="42" fillId="0" borderId="29" xfId="4" applyFont="1" applyBorder="1" applyAlignment="1">
      <alignment horizontal="center"/>
    </xf>
    <xf numFmtId="2" fontId="20" fillId="0" borderId="32" xfId="4" applyNumberFormat="1" applyFont="1" applyBorder="1" applyAlignment="1">
      <alignment horizontal="center"/>
    </xf>
    <xf numFmtId="0" fontId="19" fillId="0" borderId="32" xfId="4" applyBorder="1" applyAlignment="1">
      <alignment horizontal="center"/>
    </xf>
    <xf numFmtId="164" fontId="20" fillId="0" borderId="32" xfId="4" applyNumberFormat="1" applyFont="1" applyBorder="1" applyAlignment="1">
      <alignment horizontal="center"/>
    </xf>
    <xf numFmtId="165" fontId="20" fillId="0" borderId="56" xfId="4" applyNumberFormat="1" applyFont="1" applyFill="1" applyBorder="1" applyAlignment="1">
      <alignment horizontal="center"/>
    </xf>
    <xf numFmtId="0" fontId="19" fillId="0" borderId="13" xfId="4" applyFill="1" applyBorder="1" applyAlignment="1">
      <alignment horizontal="center"/>
    </xf>
    <xf numFmtId="0" fontId="20" fillId="0" borderId="30" xfId="4" applyFont="1" applyBorder="1" applyAlignment="1">
      <alignment horizontal="center"/>
    </xf>
    <xf numFmtId="0" fontId="20" fillId="0" borderId="30" xfId="4" applyFont="1" applyFill="1" applyBorder="1" applyAlignment="1">
      <alignment horizontal="center"/>
    </xf>
    <xf numFmtId="164" fontId="20" fillId="0" borderId="30" xfId="4" applyNumberFormat="1" applyFont="1" applyBorder="1" applyAlignment="1">
      <alignment horizontal="center"/>
    </xf>
    <xf numFmtId="0" fontId="24" fillId="0" borderId="24" xfId="4" applyFont="1" applyFill="1" applyBorder="1" applyAlignment="1">
      <alignment horizontal="center"/>
    </xf>
    <xf numFmtId="0" fontId="19" fillId="0" borderId="11" xfId="4" applyBorder="1" applyAlignment="1">
      <alignment horizontal="center"/>
    </xf>
    <xf numFmtId="0" fontId="19" fillId="0" borderId="45" xfId="4" applyBorder="1" applyAlignment="1">
      <alignment horizontal="center"/>
    </xf>
    <xf numFmtId="0" fontId="24" fillId="0" borderId="65" xfId="4" applyFont="1" applyBorder="1"/>
    <xf numFmtId="0" fontId="22" fillId="0" borderId="11" xfId="4" applyFont="1" applyBorder="1" applyAlignment="1">
      <alignment horizontal="center"/>
    </xf>
    <xf numFmtId="2" fontId="20" fillId="0" borderId="29" xfId="4" applyNumberFormat="1" applyFont="1" applyBorder="1" applyAlignment="1">
      <alignment horizontal="center"/>
    </xf>
    <xf numFmtId="0" fontId="19" fillId="0" borderId="29" xfId="4" applyBorder="1" applyAlignment="1">
      <alignment horizontal="center"/>
    </xf>
    <xf numFmtId="164" fontId="20" fillId="0" borderId="29" xfId="4" applyNumberFormat="1" applyFont="1" applyBorder="1" applyAlignment="1">
      <alignment horizontal="center"/>
    </xf>
    <xf numFmtId="49" fontId="19" fillId="0" borderId="22" xfId="4" applyNumberFormat="1" applyFill="1" applyBorder="1" applyAlignment="1">
      <alignment horizontal="center"/>
    </xf>
    <xf numFmtId="14" fontId="24" fillId="0" borderId="24" xfId="4" applyNumberFormat="1" applyFont="1" applyFill="1" applyBorder="1"/>
    <xf numFmtId="0" fontId="42" fillId="0" borderId="32" xfId="4" applyFont="1" applyBorder="1" applyAlignment="1">
      <alignment horizontal="center"/>
    </xf>
    <xf numFmtId="2" fontId="20" fillId="0" borderId="40" xfId="4" applyNumberFormat="1" applyFont="1" applyBorder="1" applyAlignment="1">
      <alignment horizontal="center"/>
    </xf>
    <xf numFmtId="0" fontId="19" fillId="0" borderId="40" xfId="4" applyBorder="1" applyAlignment="1">
      <alignment horizontal="center"/>
    </xf>
    <xf numFmtId="164" fontId="20" fillId="0" borderId="40" xfId="4" applyNumberFormat="1" applyFont="1" applyBorder="1" applyAlignment="1">
      <alignment horizontal="center"/>
    </xf>
    <xf numFmtId="0" fontId="22" fillId="0" borderId="66" xfId="4" applyFont="1" applyFill="1" applyBorder="1" applyAlignment="1">
      <alignment horizontal="center"/>
    </xf>
    <xf numFmtId="0" fontId="24" fillId="0" borderId="42" xfId="4" applyFont="1" applyFill="1" applyBorder="1"/>
    <xf numFmtId="0" fontId="42" fillId="0" borderId="32" xfId="4" applyFont="1" applyFill="1" applyBorder="1" applyAlignment="1">
      <alignment horizontal="center"/>
    </xf>
    <xf numFmtId="0" fontId="19" fillId="0" borderId="32" xfId="4" applyFill="1" applyBorder="1" applyAlignment="1">
      <alignment horizontal="center"/>
    </xf>
    <xf numFmtId="0" fontId="20" fillId="0" borderId="56" xfId="4" applyFont="1" applyFill="1" applyBorder="1" applyAlignment="1">
      <alignment horizontal="center"/>
    </xf>
    <xf numFmtId="0" fontId="22" fillId="0" borderId="14" xfId="4" applyFont="1" applyFill="1" applyBorder="1" applyAlignment="1">
      <alignment horizontal="center"/>
    </xf>
    <xf numFmtId="0" fontId="24" fillId="0" borderId="57" xfId="4" applyFont="1" applyBorder="1"/>
    <xf numFmtId="0" fontId="22" fillId="0" borderId="58" xfId="4" applyFont="1" applyBorder="1" applyAlignment="1">
      <alignment horizontal="center"/>
    </xf>
    <xf numFmtId="0" fontId="22" fillId="0" borderId="6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24" fillId="0" borderId="67" xfId="4" applyFont="1" applyBorder="1"/>
    <xf numFmtId="164" fontId="20" fillId="0" borderId="30" xfId="4" applyNumberFormat="1" applyFont="1" applyFill="1" applyBorder="1" applyAlignment="1">
      <alignment horizontal="center"/>
    </xf>
    <xf numFmtId="2" fontId="20" fillId="0" borderId="50" xfId="4" applyNumberFormat="1" applyFont="1" applyFill="1" applyBorder="1" applyAlignment="1">
      <alignment horizontal="center"/>
    </xf>
    <xf numFmtId="2" fontId="20" fillId="0" borderId="38" xfId="4" applyNumberFormat="1" applyFont="1" applyFill="1" applyBorder="1" applyAlignment="1">
      <alignment horizontal="center"/>
    </xf>
    <xf numFmtId="2" fontId="20" fillId="0" borderId="44" xfId="4" applyNumberFormat="1" applyFont="1" applyBorder="1" applyAlignment="1">
      <alignment horizontal="center"/>
    </xf>
    <xf numFmtId="2" fontId="20" fillId="0" borderId="38" xfId="4" applyNumberFormat="1" applyFont="1" applyBorder="1" applyAlignment="1">
      <alignment horizontal="center"/>
    </xf>
    <xf numFmtId="0" fontId="19" fillId="0" borderId="11" xfId="4" applyFill="1" applyBorder="1" applyAlignment="1">
      <alignment horizontal="center"/>
    </xf>
    <xf numFmtId="0" fontId="19" fillId="0" borderId="45" xfId="4" applyFill="1" applyBorder="1" applyAlignment="1">
      <alignment horizontal="center"/>
    </xf>
    <xf numFmtId="0" fontId="19" fillId="0" borderId="16" xfId="4" applyFill="1" applyBorder="1" applyAlignment="1">
      <alignment horizontal="center"/>
    </xf>
    <xf numFmtId="0" fontId="24" fillId="0" borderId="67" xfId="4" applyFont="1" applyFill="1" applyBorder="1"/>
    <xf numFmtId="0" fontId="22" fillId="0" borderId="16" xfId="4" applyFont="1" applyFill="1" applyBorder="1" applyAlignment="1">
      <alignment horizontal="center"/>
    </xf>
    <xf numFmtId="165" fontId="20" fillId="0" borderId="52" xfId="4" applyNumberFormat="1" applyFont="1" applyFill="1" applyBorder="1" applyAlignment="1">
      <alignment horizontal="center"/>
    </xf>
    <xf numFmtId="2" fontId="20" fillId="0" borderId="49" xfId="4" applyNumberFormat="1" applyFont="1" applyBorder="1" applyAlignment="1">
      <alignment horizontal="center"/>
    </xf>
    <xf numFmtId="2" fontId="20" fillId="0" borderId="50" xfId="4" applyNumberFormat="1" applyFont="1" applyBorder="1" applyAlignment="1">
      <alignment horizontal="center"/>
    </xf>
    <xf numFmtId="2" fontId="20" fillId="0" borderId="51" xfId="4" applyNumberFormat="1" applyFont="1" applyBorder="1" applyAlignment="1">
      <alignment horizontal="center"/>
    </xf>
    <xf numFmtId="0" fontId="24" fillId="0" borderId="65" xfId="4" applyFont="1" applyFill="1" applyBorder="1"/>
    <xf numFmtId="2" fontId="20" fillId="0" borderId="51" xfId="4" applyNumberFormat="1" applyFont="1" applyFill="1" applyBorder="1" applyAlignment="1">
      <alignment horizontal="center"/>
    </xf>
    <xf numFmtId="2" fontId="19" fillId="3" borderId="0" xfId="4" applyNumberFormat="1" applyFill="1" applyBorder="1"/>
    <xf numFmtId="0" fontId="20" fillId="0" borderId="0" xfId="0" applyFont="1" applyAlignment="1">
      <alignment horizontal="center" vertical="center" wrapText="1"/>
    </xf>
    <xf numFmtId="2" fontId="20" fillId="0" borderId="40" xfId="4" applyNumberFormat="1" applyFont="1" applyFill="1" applyBorder="1" applyAlignment="1">
      <alignment horizontal="center"/>
    </xf>
    <xf numFmtId="0" fontId="6" fillId="0" borderId="0" xfId="93"/>
    <xf numFmtId="0" fontId="6" fillId="0" borderId="1" xfId="93" applyBorder="1" applyAlignment="1">
      <alignment horizontal="center"/>
    </xf>
    <xf numFmtId="0" fontId="6" fillId="0" borderId="1" xfId="93" applyBorder="1"/>
    <xf numFmtId="0" fontId="6" fillId="0" borderId="40" xfId="93" applyFill="1" applyBorder="1" applyAlignment="1">
      <alignment horizontal="center"/>
    </xf>
    <xf numFmtId="165" fontId="6" fillId="0" borderId="0" xfId="93" applyNumberFormat="1" applyAlignment="1">
      <alignment horizontal="center"/>
    </xf>
    <xf numFmtId="2" fontId="6" fillId="0" borderId="0" xfId="93" applyNumberFormat="1"/>
    <xf numFmtId="0" fontId="6" fillId="0" borderId="1" xfId="93" applyFill="1" applyBorder="1" applyAlignment="1">
      <alignment horizontal="center"/>
    </xf>
    <xf numFmtId="0" fontId="6" fillId="0" borderId="0" xfId="93" applyAlignment="1">
      <alignment horizontal="center"/>
    </xf>
    <xf numFmtId="2" fontId="6" fillId="0" borderId="0" xfId="93" applyNumberFormat="1" applyAlignment="1">
      <alignment horizontal="center"/>
    </xf>
    <xf numFmtId="164" fontId="6" fillId="0" borderId="0" xfId="93" applyNumberFormat="1"/>
    <xf numFmtId="0" fontId="34" fillId="0" borderId="0" xfId="93" applyFont="1"/>
    <xf numFmtId="0" fontId="34" fillId="0" borderId="40" xfId="93" applyFont="1" applyFill="1" applyBorder="1" applyAlignment="1">
      <alignment horizontal="center"/>
    </xf>
    <xf numFmtId="2" fontId="34" fillId="0" borderId="0" xfId="93" applyNumberFormat="1" applyFont="1"/>
    <xf numFmtId="0" fontId="11" fillId="0" borderId="0" xfId="4" applyFont="1" applyAlignment="1"/>
    <xf numFmtId="0" fontId="10" fillId="0" borderId="0" xfId="94"/>
    <xf numFmtId="0" fontId="5" fillId="0" borderId="0" xfId="95"/>
    <xf numFmtId="0" fontId="11" fillId="0" borderId="0" xfId="94" applyFont="1" applyAlignment="1"/>
    <xf numFmtId="0" fontId="11" fillId="0" borderId="0" xfId="94" applyFont="1" applyAlignment="1">
      <alignment horizontal="center"/>
    </xf>
    <xf numFmtId="0" fontId="11" fillId="0" borderId="0" xfId="94" applyFont="1"/>
    <xf numFmtId="0" fontId="10" fillId="0" borderId="0" xfId="94" applyAlignment="1">
      <alignment horizontal="center"/>
    </xf>
    <xf numFmtId="0" fontId="10" fillId="0" borderId="0" xfId="94" applyAlignment="1"/>
    <xf numFmtId="2" fontId="10" fillId="0" borderId="0" xfId="5" applyNumberFormat="1" applyFont="1" applyAlignment="1">
      <alignment horizontal="left"/>
    </xf>
    <xf numFmtId="15" fontId="10" fillId="0" borderId="0" xfId="96" applyNumberFormat="1"/>
    <xf numFmtId="0" fontId="10" fillId="0" borderId="0" xfId="96" applyAlignment="1">
      <alignment horizontal="center"/>
    </xf>
    <xf numFmtId="0" fontId="10" fillId="0" borderId="0" xfId="96" applyAlignment="1">
      <alignment horizontal="left"/>
    </xf>
    <xf numFmtId="0" fontId="10" fillId="0" borderId="0" xfId="96"/>
    <xf numFmtId="0" fontId="10" fillId="0" borderId="1" xfId="96" applyBorder="1" applyAlignment="1">
      <alignment horizontal="center" vertical="center" wrapText="1"/>
    </xf>
    <xf numFmtId="0" fontId="10" fillId="0" borderId="0" xfId="96" applyFont="1" applyAlignment="1">
      <alignment horizontal="center"/>
    </xf>
    <xf numFmtId="0" fontId="10" fillId="0" borderId="0" xfId="96" applyFont="1"/>
    <xf numFmtId="2" fontId="10" fillId="0" borderId="1" xfId="96" applyNumberFormat="1" applyBorder="1" applyAlignment="1">
      <alignment horizontal="center" vertical="center" wrapText="1"/>
    </xf>
    <xf numFmtId="2" fontId="33" fillId="0" borderId="1" xfId="96" applyNumberFormat="1" applyFont="1" applyBorder="1" applyAlignment="1">
      <alignment horizontal="center" vertical="center" wrapText="1"/>
    </xf>
    <xf numFmtId="14" fontId="10" fillId="0" borderId="32" xfId="96" applyNumberFormat="1" applyBorder="1"/>
    <xf numFmtId="0" fontId="10" fillId="0" borderId="59" xfId="96" applyBorder="1" applyAlignment="1">
      <alignment horizontal="center"/>
    </xf>
    <xf numFmtId="0" fontId="10" fillId="0" borderId="60" xfId="96" applyBorder="1" applyAlignment="1">
      <alignment horizontal="center"/>
    </xf>
    <xf numFmtId="49" fontId="43" fillId="0" borderId="60" xfId="96" applyNumberFormat="1" applyFont="1" applyBorder="1" applyAlignment="1">
      <alignment horizontal="center"/>
    </xf>
    <xf numFmtId="49" fontId="10" fillId="0" borderId="60" xfId="96" applyNumberFormat="1" applyBorder="1" applyAlignment="1">
      <alignment horizontal="center"/>
    </xf>
    <xf numFmtId="164" fontId="10" fillId="0" borderId="60" xfId="96" applyNumberFormat="1" applyBorder="1" applyAlignment="1">
      <alignment horizontal="center"/>
    </xf>
    <xf numFmtId="2" fontId="10" fillId="0" borderId="37" xfId="96" applyNumberFormat="1" applyBorder="1" applyAlignment="1">
      <alignment horizontal="center"/>
    </xf>
    <xf numFmtId="2" fontId="10" fillId="0" borderId="0" xfId="96" applyNumberFormat="1"/>
    <xf numFmtId="2" fontId="10" fillId="0" borderId="0" xfId="96" applyNumberFormat="1" applyAlignment="1">
      <alignment horizontal="center"/>
    </xf>
    <xf numFmtId="0" fontId="10" fillId="0" borderId="40" xfId="96" applyBorder="1"/>
    <xf numFmtId="0" fontId="10" fillId="0" borderId="42" xfId="96" applyBorder="1" applyAlignment="1">
      <alignment horizontal="center"/>
    </xf>
    <xf numFmtId="0" fontId="10" fillId="0" borderId="0" xfId="96" applyBorder="1" applyAlignment="1">
      <alignment horizontal="center"/>
    </xf>
    <xf numFmtId="49" fontId="43" fillId="0" borderId="0" xfId="96" applyNumberFormat="1" applyFont="1" applyBorder="1" applyAlignment="1">
      <alignment horizontal="center"/>
    </xf>
    <xf numFmtId="49" fontId="10" fillId="0" borderId="0" xfId="96" applyNumberFormat="1" applyBorder="1" applyAlignment="1">
      <alignment horizontal="center"/>
    </xf>
    <xf numFmtId="164" fontId="10" fillId="0" borderId="0" xfId="96" applyNumberFormat="1" applyBorder="1" applyAlignment="1">
      <alignment horizontal="center"/>
    </xf>
    <xf numFmtId="2" fontId="10" fillId="0" borderId="39" xfId="96" applyNumberFormat="1" applyBorder="1" applyAlignment="1">
      <alignment horizontal="center"/>
    </xf>
    <xf numFmtId="16" fontId="10" fillId="0" borderId="0" xfId="96" applyNumberFormat="1"/>
    <xf numFmtId="0" fontId="10" fillId="0" borderId="44" xfId="96" applyBorder="1" applyAlignment="1">
      <alignment horizontal="center"/>
    </xf>
    <xf numFmtId="0" fontId="10" fillId="0" borderId="58" xfId="96" applyBorder="1" applyAlignment="1">
      <alignment horizontal="center"/>
    </xf>
    <xf numFmtId="49" fontId="43" fillId="0" borderId="58" xfId="96" applyNumberFormat="1" applyFont="1" applyBorder="1" applyAlignment="1">
      <alignment horizontal="center"/>
    </xf>
    <xf numFmtId="49" fontId="10" fillId="0" borderId="58" xfId="96" applyNumberFormat="1" applyBorder="1" applyAlignment="1">
      <alignment horizontal="center"/>
    </xf>
    <xf numFmtId="164" fontId="10" fillId="0" borderId="58" xfId="96" applyNumberFormat="1" applyBorder="1" applyAlignment="1">
      <alignment horizontal="center"/>
    </xf>
    <xf numFmtId="2" fontId="10" fillId="0" borderId="38" xfId="96" applyNumberFormat="1" applyBorder="1" applyAlignment="1">
      <alignment horizontal="center"/>
    </xf>
    <xf numFmtId="0" fontId="43" fillId="0" borderId="0" xfId="96" applyFont="1" applyBorder="1" applyAlignment="1">
      <alignment horizontal="center"/>
    </xf>
    <xf numFmtId="2" fontId="43" fillId="0" borderId="38" xfId="96" applyNumberFormat="1" applyFont="1" applyBorder="1" applyAlignment="1">
      <alignment horizontal="center"/>
    </xf>
    <xf numFmtId="14" fontId="10" fillId="0" borderId="40" xfId="96" applyNumberFormat="1" applyBorder="1"/>
    <xf numFmtId="0" fontId="10" fillId="0" borderId="60" xfId="96" applyFill="1" applyBorder="1" applyAlignment="1">
      <alignment horizontal="center"/>
    </xf>
    <xf numFmtId="0" fontId="10" fillId="0" borderId="0" xfId="96" applyFill="1" applyBorder="1" applyAlignment="1">
      <alignment horizontal="center"/>
    </xf>
    <xf numFmtId="0" fontId="10" fillId="0" borderId="58" xfId="96" applyFill="1" applyBorder="1" applyAlignment="1">
      <alignment horizontal="center"/>
    </xf>
    <xf numFmtId="2" fontId="43" fillId="0" borderId="37" xfId="96" applyNumberFormat="1" applyFont="1" applyBorder="1" applyAlignment="1">
      <alignment horizontal="center"/>
    </xf>
    <xf numFmtId="0" fontId="43" fillId="0" borderId="58" xfId="96" applyFont="1" applyFill="1" applyBorder="1" applyAlignment="1">
      <alignment horizontal="center"/>
    </xf>
    <xf numFmtId="0" fontId="43" fillId="0" borderId="60" xfId="96" applyFont="1" applyFill="1" applyBorder="1" applyAlignment="1">
      <alignment horizontal="center"/>
    </xf>
    <xf numFmtId="0" fontId="43" fillId="0" borderId="0" xfId="96" applyFont="1" applyFill="1" applyBorder="1" applyAlignment="1">
      <alignment horizontal="center"/>
    </xf>
    <xf numFmtId="2" fontId="10" fillId="0" borderId="37" xfId="96" applyNumberFormat="1" applyBorder="1"/>
    <xf numFmtId="0" fontId="10" fillId="0" borderId="39" xfId="96" applyBorder="1"/>
    <xf numFmtId="2" fontId="43" fillId="0" borderId="39" xfId="96" applyNumberFormat="1" applyFont="1" applyBorder="1" applyAlignment="1">
      <alignment horizontal="center"/>
    </xf>
    <xf numFmtId="0" fontId="10" fillId="0" borderId="38" xfId="96" applyBorder="1"/>
    <xf numFmtId="2" fontId="10" fillId="0" borderId="39" xfId="96" applyNumberFormat="1" applyBorder="1"/>
    <xf numFmtId="0" fontId="10" fillId="0" borderId="27" xfId="96" applyBorder="1"/>
    <xf numFmtId="15" fontId="8" fillId="0" borderId="0" xfId="6" applyNumberFormat="1" applyFill="1"/>
    <xf numFmtId="0" fontId="8" fillId="0" borderId="0" xfId="6" applyFill="1" applyAlignment="1">
      <alignment horizontal="center"/>
    </xf>
    <xf numFmtId="0" fontId="8" fillId="0" borderId="0" xfId="6" applyFill="1" applyAlignment="1">
      <alignment horizontal="left"/>
    </xf>
    <xf numFmtId="0" fontId="8" fillId="0" borderId="1" xfId="6" applyFill="1" applyBorder="1" applyAlignment="1">
      <alignment horizontal="center" vertical="center" wrapText="1"/>
    </xf>
    <xf numFmtId="14" fontId="8" fillId="0" borderId="1" xfId="6" applyNumberFormat="1" applyFill="1" applyBorder="1"/>
    <xf numFmtId="0" fontId="8" fillId="0" borderId="1" xfId="6" applyFill="1" applyBorder="1" applyAlignment="1">
      <alignment horizontal="center"/>
    </xf>
    <xf numFmtId="0" fontId="8" fillId="0" borderId="1" xfId="6" applyFill="1" applyBorder="1"/>
    <xf numFmtId="49" fontId="8" fillId="0" borderId="1" xfId="6" applyNumberFormat="1" applyFill="1" applyBorder="1" applyAlignment="1">
      <alignment horizontal="center"/>
    </xf>
    <xf numFmtId="164" fontId="8" fillId="0" borderId="1" xfId="6" applyNumberFormat="1" applyFill="1" applyBorder="1" applyAlignment="1">
      <alignment horizontal="center"/>
    </xf>
    <xf numFmtId="2" fontId="8" fillId="0" borderId="1" xfId="6" applyNumberFormat="1" applyFill="1" applyBorder="1" applyAlignment="1">
      <alignment horizontal="center"/>
    </xf>
    <xf numFmtId="166" fontId="8" fillId="0" borderId="1" xfId="6" applyNumberFormat="1" applyFill="1" applyBorder="1" applyAlignment="1">
      <alignment horizontal="center"/>
    </xf>
    <xf numFmtId="0" fontId="8" fillId="0" borderId="42" xfId="6" applyFill="1" applyBorder="1"/>
    <xf numFmtId="14" fontId="8" fillId="0" borderId="59" xfId="6" applyNumberFormat="1" applyFill="1" applyBorder="1"/>
    <xf numFmtId="0" fontId="8" fillId="0" borderId="60" xfId="6" applyFill="1" applyBorder="1"/>
    <xf numFmtId="2" fontId="8" fillId="0" borderId="37" xfId="6" applyNumberFormat="1" applyFill="1" applyBorder="1" applyAlignment="1">
      <alignment horizontal="center"/>
    </xf>
    <xf numFmtId="166" fontId="8" fillId="0" borderId="0" xfId="6" applyNumberFormat="1" applyFill="1" applyBorder="1" applyAlignment="1">
      <alignment horizontal="center"/>
    </xf>
    <xf numFmtId="164" fontId="8" fillId="0" borderId="0" xfId="6" applyNumberFormat="1" applyFill="1" applyBorder="1"/>
    <xf numFmtId="2" fontId="8" fillId="0" borderId="0" xfId="6" applyNumberFormat="1" applyFill="1" applyBorder="1" applyAlignment="1">
      <alignment horizontal="center"/>
    </xf>
    <xf numFmtId="14" fontId="8" fillId="0" borderId="42" xfId="6" applyNumberFormat="1" applyFill="1" applyBorder="1"/>
    <xf numFmtId="0" fontId="8" fillId="0" borderId="0" xfId="6" applyFill="1" applyBorder="1"/>
    <xf numFmtId="166" fontId="8" fillId="0" borderId="58" xfId="6" applyNumberFormat="1" applyFill="1" applyBorder="1" applyAlignment="1">
      <alignment horizontal="center"/>
    </xf>
    <xf numFmtId="14" fontId="8" fillId="0" borderId="0" xfId="6" applyNumberFormat="1" applyFill="1" applyBorder="1"/>
    <xf numFmtId="0" fontId="8" fillId="0" borderId="59" xfId="6" applyFill="1" applyBorder="1"/>
    <xf numFmtId="2" fontId="8" fillId="0" borderId="0" xfId="6" applyNumberFormat="1" applyFill="1" applyBorder="1"/>
    <xf numFmtId="2" fontId="8" fillId="0" borderId="0" xfId="6" applyNumberFormat="1" applyFill="1"/>
    <xf numFmtId="0" fontId="8" fillId="0" borderId="0" xfId="6" applyFill="1" applyBorder="1" applyAlignment="1">
      <alignment horizontal="center" vertical="center" wrapText="1"/>
    </xf>
    <xf numFmtId="2" fontId="8" fillId="0" borderId="0" xfId="6" applyNumberFormat="1" applyFill="1" applyBorder="1" applyAlignment="1">
      <alignment horizontal="center" vertical="center" wrapText="1"/>
    </xf>
    <xf numFmtId="2" fontId="33" fillId="0" borderId="0" xfId="6" applyNumberFormat="1" applyFont="1" applyFill="1" applyBorder="1" applyAlignment="1">
      <alignment horizontal="center" vertical="center" wrapText="1"/>
    </xf>
    <xf numFmtId="166" fontId="8" fillId="0" borderId="0" xfId="6" applyNumberFormat="1" applyFill="1"/>
    <xf numFmtId="49" fontId="4" fillId="0" borderId="1" xfId="6" applyNumberFormat="1" applyFont="1" applyFill="1" applyBorder="1" applyAlignment="1">
      <alignment horizontal="center"/>
    </xf>
    <xf numFmtId="49" fontId="4" fillId="0" borderId="0" xfId="6" applyNumberFormat="1" applyFont="1" applyFill="1" applyBorder="1" applyAlignment="1">
      <alignment horizontal="center"/>
    </xf>
    <xf numFmtId="49" fontId="4" fillId="0" borderId="60" xfId="6" applyNumberFormat="1" applyFont="1" applyFill="1" applyBorder="1" applyAlignment="1">
      <alignment horizontal="center"/>
    </xf>
    <xf numFmtId="0" fontId="4" fillId="0" borderId="0" xfId="6" applyFont="1" applyFill="1" applyAlignment="1">
      <alignment horizontal="left"/>
    </xf>
    <xf numFmtId="14" fontId="4" fillId="0" borderId="1" xfId="6" applyNumberFormat="1" applyFont="1" applyFill="1" applyBorder="1"/>
    <xf numFmtId="14" fontId="4" fillId="0" borderId="59" xfId="6" applyNumberFormat="1" applyFont="1" applyFill="1" applyBorder="1"/>
    <xf numFmtId="2" fontId="28" fillId="0" borderId="27" xfId="1" applyNumberFormat="1" applyFont="1" applyBorder="1" applyAlignment="1">
      <alignment horizontal="center"/>
    </xf>
    <xf numFmtId="2" fontId="44" fillId="0" borderId="0" xfId="1" applyNumberFormat="1" applyFont="1"/>
    <xf numFmtId="49" fontId="10" fillId="0" borderId="1" xfId="1" applyNumberFormat="1" applyFont="1" applyBorder="1" applyAlignment="1">
      <alignment horizontal="center"/>
    </xf>
    <xf numFmtId="49" fontId="19" fillId="0" borderId="1" xfId="1" applyNumberFormat="1" applyFont="1" applyBorder="1" applyAlignment="1">
      <alignment horizontal="center"/>
    </xf>
    <xf numFmtId="0" fontId="3" fillId="0" borderId="1" xfId="6" applyFont="1" applyBorder="1" applyAlignment="1">
      <alignment horizontal="center" vertical="center" wrapText="1"/>
    </xf>
    <xf numFmtId="0" fontId="11" fillId="0" borderId="0" xfId="4" applyFont="1" applyAlignment="1"/>
    <xf numFmtId="2" fontId="34" fillId="0" borderId="1" xfId="6" applyNumberFormat="1" applyFont="1" applyBorder="1" applyAlignment="1">
      <alignment horizontal="center" vertical="center" wrapText="1"/>
    </xf>
    <xf numFmtId="49" fontId="2" fillId="0" borderId="60" xfId="6" applyNumberFormat="1" applyFont="1" applyBorder="1" applyAlignment="1">
      <alignment horizontal="center"/>
    </xf>
    <xf numFmtId="49" fontId="2" fillId="0" borderId="0" xfId="6" applyNumberFormat="1" applyFont="1" applyBorder="1" applyAlignment="1">
      <alignment horizontal="center"/>
    </xf>
    <xf numFmtId="49" fontId="2" fillId="0" borderId="0" xfId="6" applyNumberFormat="1" applyFont="1" applyFill="1" applyBorder="1" applyAlignment="1">
      <alignment horizontal="center"/>
    </xf>
    <xf numFmtId="0" fontId="2" fillId="0" borderId="58" xfId="6" applyFont="1" applyFill="1" applyBorder="1" applyAlignment="1">
      <alignment horizontal="center"/>
    </xf>
    <xf numFmtId="49" fontId="2" fillId="0" borderId="58" xfId="6" applyNumberFormat="1" applyFont="1" applyBorder="1" applyAlignment="1">
      <alignment horizontal="center"/>
    </xf>
    <xf numFmtId="0" fontId="2" fillId="0" borderId="1" xfId="6" applyFont="1" applyBorder="1" applyAlignment="1">
      <alignment horizontal="center" vertical="center" wrapText="1"/>
    </xf>
    <xf numFmtId="0" fontId="46" fillId="0" borderId="0" xfId="0" applyFont="1"/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2" fontId="47" fillId="0" borderId="1" xfId="0" applyNumberFormat="1" applyFont="1" applyBorder="1" applyAlignment="1">
      <alignment horizontal="center"/>
    </xf>
    <xf numFmtId="165" fontId="47" fillId="0" borderId="1" xfId="0" applyNumberFormat="1" applyFont="1" applyBorder="1" applyAlignment="1">
      <alignment horizontal="center"/>
    </xf>
    <xf numFmtId="0" fontId="11" fillId="0" borderId="0" xfId="0" applyFont="1"/>
    <xf numFmtId="0" fontId="47" fillId="0" borderId="40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7" fillId="0" borderId="1" xfId="0" applyFont="1" applyBorder="1" applyAlignment="1">
      <alignment horizontal="center" wrapText="1"/>
    </xf>
    <xf numFmtId="14" fontId="47" fillId="0" borderId="1" xfId="0" applyNumberFormat="1" applyFont="1" applyBorder="1" applyAlignment="1">
      <alignment horizontal="center" wrapText="1"/>
    </xf>
    <xf numFmtId="0" fontId="28" fillId="0" borderId="0" xfId="0" applyFont="1"/>
    <xf numFmtId="0" fontId="47" fillId="0" borderId="1" xfId="0" applyFont="1" applyFill="1" applyBorder="1" applyAlignment="1">
      <alignment horizontal="center"/>
    </xf>
    <xf numFmtId="165" fontId="47" fillId="0" borderId="23" xfId="0" applyNumberFormat="1" applyFont="1" applyBorder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17" borderId="1" xfId="0" applyFont="1" applyFill="1" applyBorder="1" applyAlignment="1">
      <alignment horizontal="center"/>
    </xf>
    <xf numFmtId="0" fontId="2" fillId="0" borderId="1" xfId="97" applyBorder="1" applyAlignment="1">
      <alignment horizontal="center" vertical="center" wrapText="1"/>
    </xf>
    <xf numFmtId="0" fontId="2" fillId="0" borderId="1" xfId="97" applyFill="1" applyBorder="1" applyAlignment="1">
      <alignment horizontal="center" vertical="center" wrapText="1"/>
    </xf>
    <xf numFmtId="0" fontId="2" fillId="0" borderId="0" xfId="97"/>
    <xf numFmtId="0" fontId="2" fillId="0" borderId="1" xfId="97" applyNumberFormat="1" applyBorder="1" applyAlignment="1">
      <alignment horizontal="center" vertical="center" wrapText="1"/>
    </xf>
    <xf numFmtId="2" fontId="2" fillId="0" borderId="1" xfId="97" applyNumberFormat="1" applyBorder="1" applyAlignment="1">
      <alignment horizontal="center" vertical="center" wrapText="1"/>
    </xf>
    <xf numFmtId="2" fontId="33" fillId="0" borderId="1" xfId="97" applyNumberFormat="1" applyFont="1" applyBorder="1" applyAlignment="1">
      <alignment horizontal="center" vertical="center" wrapText="1"/>
    </xf>
    <xf numFmtId="2" fontId="33" fillId="0" borderId="1" xfId="97" applyNumberFormat="1" applyFont="1" applyFill="1" applyBorder="1" applyAlignment="1">
      <alignment horizontal="center" vertical="center" wrapText="1"/>
    </xf>
    <xf numFmtId="14" fontId="2" fillId="0" borderId="0" xfId="97" applyNumberFormat="1"/>
    <xf numFmtId="0" fontId="2" fillId="0" borderId="0" xfId="97" applyNumberFormat="1" applyAlignment="1">
      <alignment horizontal="center"/>
    </xf>
    <xf numFmtId="0" fontId="2" fillId="0" borderId="0" xfId="97" applyAlignment="1">
      <alignment horizontal="center"/>
    </xf>
    <xf numFmtId="49" fontId="2" fillId="0" borderId="0" xfId="97" applyNumberFormat="1" applyAlignment="1">
      <alignment horizontal="center"/>
    </xf>
    <xf numFmtId="0" fontId="2" fillId="0" borderId="0" xfId="97" applyFill="1" applyAlignment="1">
      <alignment horizontal="center"/>
    </xf>
    <xf numFmtId="164" fontId="2" fillId="0" borderId="0" xfId="97" applyNumberFormat="1" applyAlignment="1">
      <alignment horizontal="center"/>
    </xf>
    <xf numFmtId="0" fontId="2" fillId="0" borderId="0" xfId="97" applyFill="1"/>
    <xf numFmtId="14" fontId="2" fillId="0" borderId="0" xfId="97" applyNumberFormat="1" applyFill="1" applyAlignment="1">
      <alignment horizontal="center"/>
    </xf>
    <xf numFmtId="0" fontId="2" fillId="3" borderId="0" xfId="97" applyFill="1" applyAlignment="1">
      <alignment horizontal="center"/>
    </xf>
    <xf numFmtId="0" fontId="2" fillId="0" borderId="0" xfId="97" applyNumberFormat="1" applyFill="1" applyAlignment="1">
      <alignment horizontal="center"/>
    </xf>
    <xf numFmtId="49" fontId="2" fillId="0" borderId="0" xfId="97" applyNumberFormat="1" applyFill="1" applyAlignment="1">
      <alignment horizontal="center"/>
    </xf>
    <xf numFmtId="2" fontId="2" fillId="0" borderId="0" xfId="97" applyNumberFormat="1" applyFill="1" applyAlignment="1">
      <alignment horizontal="center"/>
    </xf>
    <xf numFmtId="0" fontId="32" fillId="0" borderId="0" xfId="97" applyFont="1" applyFill="1" applyAlignment="1">
      <alignment horizontal="center"/>
    </xf>
    <xf numFmtId="0" fontId="1" fillId="0" borderId="1" xfId="102" applyBorder="1" applyAlignment="1">
      <alignment horizontal="center" vertical="center" wrapText="1"/>
    </xf>
    <xf numFmtId="0" fontId="1" fillId="0" borderId="1" xfId="102" applyFill="1" applyBorder="1" applyAlignment="1">
      <alignment horizontal="center" vertical="center" wrapText="1"/>
    </xf>
    <xf numFmtId="0" fontId="1" fillId="0" borderId="0" xfId="102"/>
    <xf numFmtId="0" fontId="1" fillId="0" borderId="1" xfId="102" applyNumberFormat="1" applyBorder="1" applyAlignment="1">
      <alignment horizontal="center" vertical="center" wrapText="1"/>
    </xf>
    <xf numFmtId="2" fontId="1" fillId="0" borderId="1" xfId="102" applyNumberFormat="1" applyFill="1" applyBorder="1" applyAlignment="1">
      <alignment horizontal="center" vertical="center" wrapText="1"/>
    </xf>
    <xf numFmtId="2" fontId="33" fillId="0" borderId="1" xfId="102" applyNumberFormat="1" applyFont="1" applyFill="1" applyBorder="1" applyAlignment="1">
      <alignment horizontal="center" vertical="center" wrapText="1"/>
    </xf>
    <xf numFmtId="14" fontId="1" fillId="0" borderId="0" xfId="102" applyNumberFormat="1"/>
    <xf numFmtId="0" fontId="1" fillId="0" borderId="0" xfId="102" applyNumberFormat="1" applyAlignment="1">
      <alignment horizontal="center"/>
    </xf>
    <xf numFmtId="0" fontId="1" fillId="0" borderId="0" xfId="102" applyAlignment="1">
      <alignment horizontal="center"/>
    </xf>
    <xf numFmtId="49" fontId="1" fillId="0" borderId="0" xfId="102" applyNumberFormat="1" applyFill="1" applyAlignment="1">
      <alignment horizontal="center"/>
    </xf>
    <xf numFmtId="0" fontId="1" fillId="0" borderId="0" xfId="102" applyFill="1" applyAlignment="1">
      <alignment horizontal="center"/>
    </xf>
    <xf numFmtId="164" fontId="1" fillId="0" borderId="0" xfId="102" applyNumberFormat="1" applyFill="1" applyAlignment="1">
      <alignment horizontal="center"/>
    </xf>
    <xf numFmtId="164" fontId="1" fillId="0" borderId="0" xfId="102" applyNumberFormat="1" applyAlignment="1">
      <alignment horizontal="center"/>
    </xf>
    <xf numFmtId="49" fontId="34" fillId="0" borderId="0" xfId="102" applyNumberFormat="1" applyFont="1" applyFill="1" applyAlignment="1">
      <alignment horizontal="center"/>
    </xf>
    <xf numFmtId="0" fontId="34" fillId="0" borderId="0" xfId="102" applyFont="1" applyFill="1" applyAlignment="1">
      <alignment horizontal="center"/>
    </xf>
    <xf numFmtId="164" fontId="34" fillId="0" borderId="0" xfId="102" applyNumberFormat="1" applyFont="1" applyFill="1" applyAlignment="1">
      <alignment horizontal="center"/>
    </xf>
    <xf numFmtId="0" fontId="1" fillId="0" borderId="0" xfId="102" applyFill="1"/>
    <xf numFmtId="0" fontId="50" fillId="0" borderId="0" xfId="103"/>
    <xf numFmtId="15" fontId="47" fillId="0" borderId="0" xfId="103" applyNumberFormat="1" applyFont="1"/>
    <xf numFmtId="0" fontId="11" fillId="0" borderId="18" xfId="4" applyFont="1" applyBorder="1" applyAlignment="1">
      <alignment horizontal="center" vertical="center" wrapText="1"/>
    </xf>
    <xf numFmtId="0" fontId="19" fillId="0" borderId="20" xfId="4" applyBorder="1" applyAlignment="1"/>
    <xf numFmtId="0" fontId="19" fillId="0" borderId="19" xfId="4" applyBorder="1" applyAlignment="1"/>
    <xf numFmtId="0" fontId="11" fillId="0" borderId="20" xfId="4" applyFont="1" applyBorder="1" applyAlignment="1">
      <alignment horizontal="center" vertical="center" wrapText="1"/>
    </xf>
    <xf numFmtId="0" fontId="11" fillId="0" borderId="19" xfId="4" applyFont="1" applyBorder="1" applyAlignment="1">
      <alignment horizontal="center" vertical="center" wrapText="1"/>
    </xf>
    <xf numFmtId="0" fontId="11" fillId="0" borderId="0" xfId="4" applyFont="1" applyAlignment="1"/>
    <xf numFmtId="0" fontId="11" fillId="0" borderId="28" xfId="4" applyFont="1" applyBorder="1" applyAlignment="1">
      <alignment horizontal="center"/>
    </xf>
    <xf numFmtId="0" fontId="11" fillId="0" borderId="6" xfId="4" applyFont="1" applyBorder="1" applyAlignment="1">
      <alignment horizontal="center"/>
    </xf>
    <xf numFmtId="0" fontId="11" fillId="0" borderId="7" xfId="4" applyFont="1" applyBorder="1" applyAlignment="1">
      <alignment horizontal="center"/>
    </xf>
    <xf numFmtId="0" fontId="11" fillId="0" borderId="28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0" fontId="31" fillId="0" borderId="1" xfId="4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top" wrapText="1"/>
    </xf>
    <xf numFmtId="0" fontId="23" fillId="0" borderId="1" xfId="5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23" fillId="0" borderId="28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2" fontId="19" fillId="0" borderId="0" xfId="2" applyNumberFormat="1" applyFont="1" applyAlignment="1">
      <alignment horizontal="center"/>
    </xf>
    <xf numFmtId="2" fontId="10" fillId="0" borderId="0" xfId="5" applyNumberFormat="1" applyFont="1" applyAlignment="1">
      <alignment horizontal="center"/>
    </xf>
    <xf numFmtId="0" fontId="11" fillId="0" borderId="28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9" fillId="0" borderId="19" xfId="4" applyBorder="1" applyAlignment="1">
      <alignment horizontal="center" vertical="center" wrapText="1"/>
    </xf>
    <xf numFmtId="2" fontId="14" fillId="0" borderId="18" xfId="4" applyNumberFormat="1" applyFont="1" applyFill="1" applyBorder="1" applyAlignment="1">
      <alignment horizontal="center" vertical="center" wrapText="1"/>
    </xf>
    <xf numFmtId="2" fontId="14" fillId="0" borderId="20" xfId="4" applyNumberFormat="1" applyFont="1" applyFill="1" applyBorder="1" applyAlignment="1">
      <alignment horizontal="center" vertical="center" wrapText="1"/>
    </xf>
    <xf numFmtId="2" fontId="14" fillId="0" borderId="19" xfId="4" applyNumberFormat="1" applyFont="1" applyFill="1" applyBorder="1" applyAlignment="1">
      <alignment horizontal="center" vertical="center" wrapText="1"/>
    </xf>
    <xf numFmtId="2" fontId="11" fillId="0" borderId="18" xfId="4" applyNumberFormat="1" applyFont="1" applyFill="1" applyBorder="1" applyAlignment="1">
      <alignment horizontal="center" vertical="center" wrapText="1"/>
    </xf>
    <xf numFmtId="2" fontId="11" fillId="0" borderId="20" xfId="4" applyNumberFormat="1" applyFont="1" applyFill="1" applyBorder="1" applyAlignment="1">
      <alignment horizontal="center" vertical="center" wrapText="1"/>
    </xf>
    <xf numFmtId="2" fontId="11" fillId="0" borderId="19" xfId="4" applyNumberFormat="1" applyFont="1" applyFill="1" applyBorder="1" applyAlignment="1">
      <alignment horizontal="center" vertical="center" wrapText="1"/>
    </xf>
    <xf numFmtId="0" fontId="11" fillId="0" borderId="28" xfId="4" applyFont="1" applyFill="1" applyBorder="1" applyAlignment="1">
      <alignment horizontal="center" vertical="center" wrapText="1"/>
    </xf>
    <xf numFmtId="0" fontId="11" fillId="0" borderId="6" xfId="4" applyFont="1" applyFill="1" applyBorder="1" applyAlignment="1">
      <alignment horizontal="center" vertical="center" wrapText="1"/>
    </xf>
    <xf numFmtId="0" fontId="11" fillId="0" borderId="7" xfId="4" applyFont="1" applyFill="1" applyBorder="1" applyAlignment="1">
      <alignment horizontal="center" vertical="center" wrapText="1"/>
    </xf>
    <xf numFmtId="0" fontId="14" fillId="0" borderId="28" xfId="4" applyFont="1" applyFill="1" applyBorder="1" applyAlignment="1">
      <alignment horizontal="center" vertical="center" wrapText="1"/>
    </xf>
    <xf numFmtId="0" fontId="19" fillId="0" borderId="6" xfId="4" applyFill="1" applyBorder="1" applyAlignment="1">
      <alignment horizontal="center" vertical="center" wrapText="1"/>
    </xf>
    <xf numFmtId="0" fontId="19" fillId="0" borderId="7" xfId="4" applyFill="1" applyBorder="1" applyAlignment="1">
      <alignment horizontal="center" vertical="center" wrapText="1"/>
    </xf>
    <xf numFmtId="0" fontId="16" fillId="0" borderId="28" xfId="4" applyFont="1" applyFill="1" applyBorder="1" applyAlignment="1">
      <alignment horizontal="center" vertical="center" wrapText="1"/>
    </xf>
    <xf numFmtId="0" fontId="16" fillId="0" borderId="6" xfId="4" applyFont="1" applyFill="1" applyBorder="1" applyAlignment="1">
      <alignment horizontal="center" vertical="center" wrapText="1"/>
    </xf>
    <xf numFmtId="0" fontId="16" fillId="0" borderId="7" xfId="4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9" fillId="0" borderId="17" xfId="4" applyFill="1" applyBorder="1" applyAlignment="1">
      <alignment horizontal="center" vertical="center" wrapText="1"/>
    </xf>
    <xf numFmtId="0" fontId="14" fillId="0" borderId="18" xfId="4" applyFont="1" applyFill="1" applyBorder="1" applyAlignment="1">
      <alignment horizontal="center" vertical="center" wrapText="1"/>
    </xf>
    <xf numFmtId="0" fontId="14" fillId="0" borderId="20" xfId="4" applyFont="1" applyFill="1" applyBorder="1" applyAlignment="1">
      <alignment horizontal="center" vertical="center" wrapText="1"/>
    </xf>
    <xf numFmtId="0" fontId="14" fillId="0" borderId="19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9" xfId="4" applyFont="1" applyFill="1" applyBorder="1" applyAlignment="1">
      <alignment horizontal="center" vertical="center" wrapText="1"/>
    </xf>
    <xf numFmtId="0" fontId="16" fillId="0" borderId="18" xfId="4" applyFont="1" applyFill="1" applyBorder="1" applyAlignment="1">
      <alignment horizontal="center" vertical="center" wrapText="1"/>
    </xf>
    <xf numFmtId="0" fontId="16" fillId="0" borderId="20" xfId="4" applyFont="1" applyFill="1" applyBorder="1" applyAlignment="1">
      <alignment horizontal="center" vertical="center" wrapText="1"/>
    </xf>
    <xf numFmtId="0" fontId="16" fillId="0" borderId="19" xfId="4" applyFont="1" applyFill="1" applyBorder="1" applyAlignment="1">
      <alignment horizontal="center" vertical="center" wrapText="1"/>
    </xf>
    <xf numFmtId="0" fontId="39" fillId="0" borderId="18" xfId="4" applyFont="1" applyFill="1" applyBorder="1" applyAlignment="1">
      <alignment horizontal="center" vertical="center" wrapText="1"/>
    </xf>
    <xf numFmtId="0" fontId="39" fillId="0" borderId="20" xfId="4" applyFont="1" applyFill="1" applyBorder="1" applyAlignment="1">
      <alignment horizontal="center" vertical="center" wrapText="1"/>
    </xf>
    <xf numFmtId="0" fontId="39" fillId="0" borderId="19" xfId="4" applyFont="1" applyFill="1" applyBorder="1" applyAlignment="1">
      <alignment horizontal="center" vertical="center" wrapText="1"/>
    </xf>
    <xf numFmtId="0" fontId="6" fillId="0" borderId="47" xfId="93" applyBorder="1" applyAlignment="1">
      <alignment horizontal="center" wrapText="1"/>
    </xf>
    <xf numFmtId="0" fontId="6" fillId="0" borderId="23" xfId="93" applyBorder="1" applyAlignment="1">
      <alignment horizontal="center" wrapText="1"/>
    </xf>
    <xf numFmtId="0" fontId="6" fillId="0" borderId="36" xfId="93" applyBorder="1" applyAlignment="1">
      <alignment horizontal="center" wrapText="1"/>
    </xf>
    <xf numFmtId="0" fontId="6" fillId="0" borderId="44" xfId="93" applyBorder="1" applyAlignment="1">
      <alignment horizontal="center"/>
    </xf>
    <xf numFmtId="0" fontId="6" fillId="0" borderId="58" xfId="93" applyBorder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7" fillId="0" borderId="0" xfId="0" applyFont="1"/>
  </cellXfs>
  <cellStyles count="104">
    <cellStyle name="20% - Accent1 2" xfId="10"/>
    <cellStyle name="20% - Accent1 3" xfId="11"/>
    <cellStyle name="20% - Accent1 4" xfId="12"/>
    <cellStyle name="20% - Accent1 5" xfId="13"/>
    <cellStyle name="20% - Accent1 6" xfId="14"/>
    <cellStyle name="20% - Accent1 7" xfId="15"/>
    <cellStyle name="20% - Accent2 2" xfId="16"/>
    <cellStyle name="20% - Accent2 3" xfId="17"/>
    <cellStyle name="20% - Accent2 4" xfId="18"/>
    <cellStyle name="20% - Accent2 5" xfId="19"/>
    <cellStyle name="20% - Accent2 6" xfId="20"/>
    <cellStyle name="20% - Accent2 7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3 7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4 7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6 2" xfId="40"/>
    <cellStyle name="20% - Accent6 3" xfId="41"/>
    <cellStyle name="20% - Accent6 4" xfId="42"/>
    <cellStyle name="20% - Accent6 5" xfId="43"/>
    <cellStyle name="20% - Accent6 6" xfId="44"/>
    <cellStyle name="20% - Accent6 7" xfId="45"/>
    <cellStyle name="40% - Accent1 2" xfId="46"/>
    <cellStyle name="40% - Accent1 3" xfId="47"/>
    <cellStyle name="40% - Accent1 4" xfId="48"/>
    <cellStyle name="40% - Accent1 5" xfId="49"/>
    <cellStyle name="40% - Accent1 6" xfId="50"/>
    <cellStyle name="40% - Accent1 7" xfId="51"/>
    <cellStyle name="40% - Accent2 2" xfId="52"/>
    <cellStyle name="40% - Accent2 3" xfId="53"/>
    <cellStyle name="40% - Accent2 4" xfId="54"/>
    <cellStyle name="40% - Accent2 5" xfId="55"/>
    <cellStyle name="40% - Accent2 6" xfId="56"/>
    <cellStyle name="40% - Accent2 7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3 7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4 7" xfId="69"/>
    <cellStyle name="40% - Accent5 2" xfId="70"/>
    <cellStyle name="40% - Accent5 3" xfId="71"/>
    <cellStyle name="40% - Accent5 4" xfId="72"/>
    <cellStyle name="40% - Accent5 5" xfId="73"/>
    <cellStyle name="40% - Accent5 6" xfId="74"/>
    <cellStyle name="40% - Accent5 7" xfId="75"/>
    <cellStyle name="40% - Accent6 2" xfId="76"/>
    <cellStyle name="40% - Accent6 3" xfId="77"/>
    <cellStyle name="40% - Accent6 4" xfId="78"/>
    <cellStyle name="40% - Accent6 5" xfId="79"/>
    <cellStyle name="40% - Accent6 6" xfId="80"/>
    <cellStyle name="40% - Accent6 7" xfId="81"/>
    <cellStyle name="Normal" xfId="0" builtinId="0"/>
    <cellStyle name="Normal 10" xfId="82"/>
    <cellStyle name="Normal 11" xfId="93"/>
    <cellStyle name="Normal 12" xfId="97"/>
    <cellStyle name="Normal 13" xfId="102"/>
    <cellStyle name="Normal 14" xfId="103"/>
    <cellStyle name="Normal 2" xfId="3"/>
    <cellStyle name="Normal 2 2" xfId="83"/>
    <cellStyle name="Normal 2 3" xfId="96"/>
    <cellStyle name="Normal 2 4" xfId="99"/>
    <cellStyle name="Normal 3" xfId="4"/>
    <cellStyle name="Normal 3 2" xfId="94"/>
    <cellStyle name="Normal 4" xfId="6"/>
    <cellStyle name="Normal 4 2" xfId="95"/>
    <cellStyle name="Normal 4 3" xfId="98"/>
    <cellStyle name="Normal 5" xfId="7"/>
    <cellStyle name="Normal 6" xfId="8"/>
    <cellStyle name="Normal 7" xfId="84"/>
    <cellStyle name="Normal 7 2" xfId="100"/>
    <cellStyle name="Normal 8" xfId="85"/>
    <cellStyle name="Normal 8 2" xfId="101"/>
    <cellStyle name="Normal 9" xfId="9"/>
    <cellStyle name="Note 2" xfId="86"/>
    <cellStyle name="Note 3" xfId="87"/>
    <cellStyle name="Note 4" xfId="88"/>
    <cellStyle name="Note 5" xfId="89"/>
    <cellStyle name="Note 6" xfId="90"/>
    <cellStyle name="Note 7" xfId="91"/>
    <cellStyle name="Note 8" xfId="92"/>
    <cellStyle name="Обычный_Field Capacity" xfId="1"/>
    <cellStyle name="Обычный_Soil Bulk density" xfId="2"/>
    <cellStyle name="Обычный_Soil Bulk density NEW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1"/>
          <c:order val="0"/>
          <c:spPr>
            <a:ln w="28575">
              <a:noFill/>
            </a:ln>
          </c:spPr>
          <c:trendline>
            <c:spPr>
              <a:ln w="31750">
                <a:solidFill>
                  <a:schemeClr val="tx1"/>
                </a:solidFill>
              </a:ln>
            </c:spPr>
            <c:trendlineType val="power"/>
            <c:dispRSqr val="1"/>
            <c:dispEq val="1"/>
            <c:trendlineLbl>
              <c:layout>
                <c:manualLayout>
                  <c:x val="9.0315389205128539E-3"/>
                  <c:y val="-0.17920633944887576"/>
                </c:manualLayout>
              </c:layout>
              <c:numFmt formatCode="General" sourceLinked="0"/>
            </c:trendlineLbl>
          </c:trendline>
          <c:xVal>
            <c:numRef>
              <c:f>infiltration_rate!$E$24:$E$48</c:f>
              <c:numCache>
                <c:formatCode>General</c:formatCode>
                <c:ptCount val="25"/>
                <c:pt idx="0">
                  <c:v>5.9999999999999787</c:v>
                </c:pt>
                <c:pt idx="1">
                  <c:v>10.999999999999961</c:v>
                </c:pt>
                <c:pt idx="2">
                  <c:v>16.000000000000021</c:v>
                </c:pt>
                <c:pt idx="3">
                  <c:v>25.999999999999986</c:v>
                </c:pt>
                <c:pt idx="4">
                  <c:v>34.999999999999957</c:v>
                </c:pt>
                <c:pt idx="5">
                  <c:v>44.999999999999922</c:v>
                </c:pt>
                <c:pt idx="6">
                  <c:v>55.000000000000043</c:v>
                </c:pt>
                <c:pt idx="7">
                  <c:v>65</c:v>
                </c:pt>
                <c:pt idx="8">
                  <c:v>75.000000000000597</c:v>
                </c:pt>
                <c:pt idx="9">
                  <c:v>84.999999999999915</c:v>
                </c:pt>
                <c:pt idx="10">
                  <c:v>94.999999999999403</c:v>
                </c:pt>
                <c:pt idx="11">
                  <c:v>105.00000000000017</c:v>
                </c:pt>
                <c:pt idx="12">
                  <c:v>114.99999999999949</c:v>
                </c:pt>
                <c:pt idx="13">
                  <c:v>187.00000000000003</c:v>
                </c:pt>
                <c:pt idx="14">
                  <c:v>197</c:v>
                </c:pt>
                <c:pt idx="15">
                  <c:v>218.00000000000009</c:v>
                </c:pt>
                <c:pt idx="16">
                  <c:v>238</c:v>
                </c:pt>
                <c:pt idx="17">
                  <c:v>259.99999999999994</c:v>
                </c:pt>
                <c:pt idx="18">
                  <c:v>277.00000000000006</c:v>
                </c:pt>
                <c:pt idx="19">
                  <c:v>284.00000000000006</c:v>
                </c:pt>
                <c:pt idx="20">
                  <c:v>294.00000000000017</c:v>
                </c:pt>
                <c:pt idx="21">
                  <c:v>300</c:v>
                </c:pt>
                <c:pt idx="22">
                  <c:v>310.99999999999994</c:v>
                </c:pt>
                <c:pt idx="23">
                  <c:v>317.00000000000006</c:v>
                </c:pt>
                <c:pt idx="24">
                  <c:v>322.00000000000006</c:v>
                </c:pt>
              </c:numCache>
            </c:numRef>
          </c:xVal>
          <c:yVal>
            <c:numRef>
              <c:f>infiltration_rate!$J$24:$J$48</c:f>
              <c:numCache>
                <c:formatCode>0.000</c:formatCode>
                <c:ptCount val="25"/>
                <c:pt idx="0">
                  <c:v>1.6666666666666725</c:v>
                </c:pt>
                <c:pt idx="1">
                  <c:v>0.80000000000000282</c:v>
                </c:pt>
                <c:pt idx="3">
                  <c:v>0.60000000000000209</c:v>
                </c:pt>
                <c:pt idx="4">
                  <c:v>0.55555555555555758</c:v>
                </c:pt>
                <c:pt idx="5">
                  <c:v>0.50000000000000178</c:v>
                </c:pt>
                <c:pt idx="7">
                  <c:v>0.40000000000000141</c:v>
                </c:pt>
                <c:pt idx="8">
                  <c:v>0.39999999999997582</c:v>
                </c:pt>
                <c:pt idx="9">
                  <c:v>0.400000000000027</c:v>
                </c:pt>
                <c:pt idx="10">
                  <c:v>0.40000000000002062</c:v>
                </c:pt>
                <c:pt idx="12">
                  <c:v>0.400000000000027</c:v>
                </c:pt>
                <c:pt idx="13">
                  <c:v>0.31944444444444203</c:v>
                </c:pt>
                <c:pt idx="15">
                  <c:v>0.28571428571428453</c:v>
                </c:pt>
                <c:pt idx="17">
                  <c:v>0.22727272727272727</c:v>
                </c:pt>
                <c:pt idx="18">
                  <c:v>0.23076923076923078</c:v>
                </c:pt>
                <c:pt idx="20">
                  <c:v>0.24999999999999689</c:v>
                </c:pt>
                <c:pt idx="23">
                  <c:v>0.24561403508771928</c:v>
                </c:pt>
                <c:pt idx="24">
                  <c:v>0.22580645161290322</c:v>
                </c:pt>
              </c:numCache>
            </c:numRef>
          </c:yVal>
        </c:ser>
        <c:axId val="110032384"/>
        <c:axId val="110034304"/>
      </c:scatterChart>
      <c:valAx>
        <c:axId val="110032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Time,</a:t>
                </a:r>
                <a:r>
                  <a:rPr lang="en-US" sz="1200" baseline="0"/>
                  <a:t> minutes</a:t>
                </a:r>
                <a:endParaRPr lang="en-US" sz="1200"/>
              </a:p>
            </c:rich>
          </c:tx>
        </c:title>
        <c:numFmt formatCode="General" sourceLinked="1"/>
        <c:tickLblPos val="nextTo"/>
        <c:crossAx val="110034304"/>
        <c:crosses val="autoZero"/>
        <c:crossBetween val="midCat"/>
      </c:valAx>
      <c:valAx>
        <c:axId val="1100343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Infiltration rate, mm/min</a:t>
                </a:r>
              </a:p>
            </c:rich>
          </c:tx>
          <c:layout>
            <c:manualLayout>
              <c:xMode val="edge"/>
              <c:yMode val="edge"/>
              <c:x val="5.070048753457959E-3"/>
              <c:y val="0.20934913183929113"/>
            </c:manualLayout>
          </c:layout>
        </c:title>
        <c:numFmt formatCode="0.000" sourceLinked="1"/>
        <c:tickLblPos val="nextTo"/>
        <c:crossAx val="110032384"/>
        <c:crosses val="autoZero"/>
        <c:crossBetween val="midCat"/>
      </c:valAx>
    </c:plotArea>
    <c:legend>
      <c:legendPos val="r"/>
    </c:legend>
    <c:plotVisOnly val="1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soil_moistUre_18_10_15!$R$4:$R$128</c:f>
              <c:numCache>
                <c:formatCode>General</c:formatCode>
                <c:ptCount val="125"/>
                <c:pt idx="0">
                  <c:v>0.129955947136564</c:v>
                </c:pt>
                <c:pt idx="1">
                  <c:v>0.13452188006482976</c:v>
                </c:pt>
                <c:pt idx="2">
                  <c:v>0.17175572519083968</c:v>
                </c:pt>
                <c:pt idx="3">
                  <c:v>0.13831775700934565</c:v>
                </c:pt>
                <c:pt idx="4">
                  <c:v>0.11900532859680289</c:v>
                </c:pt>
                <c:pt idx="5">
                  <c:v>0.14578005115089523</c:v>
                </c:pt>
                <c:pt idx="6">
                  <c:v>0.15384615384615369</c:v>
                </c:pt>
                <c:pt idx="7">
                  <c:v>0.19483101391650096</c:v>
                </c:pt>
                <c:pt idx="8">
                  <c:v>0.18959107806691428</c:v>
                </c:pt>
                <c:pt idx="9">
                  <c:v>0.14203454894433792</c:v>
                </c:pt>
                <c:pt idx="10">
                  <c:v>9.8720292504570498E-2</c:v>
                </c:pt>
                <c:pt idx="11">
                  <c:v>0.11754068716094032</c:v>
                </c:pt>
                <c:pt idx="12">
                  <c:v>0.11742424242424249</c:v>
                </c:pt>
                <c:pt idx="13">
                  <c:v>0.1260162601626017</c:v>
                </c:pt>
                <c:pt idx="14">
                  <c:v>0.11669658886894076</c:v>
                </c:pt>
                <c:pt idx="15" formatCode="0.000">
                  <c:v>7.3552425665101534E-2</c:v>
                </c:pt>
                <c:pt idx="16">
                  <c:v>8.2390953150242238E-2</c:v>
                </c:pt>
                <c:pt idx="17">
                  <c:v>9.8106712564543938E-2</c:v>
                </c:pt>
                <c:pt idx="18">
                  <c:v>9.1726618705035859E-2</c:v>
                </c:pt>
                <c:pt idx="19">
                  <c:v>7.414104882459302E-2</c:v>
                </c:pt>
                <c:pt idx="20">
                  <c:v>0.14513556618819792</c:v>
                </c:pt>
                <c:pt idx="21">
                  <c:v>0.15167785234899325</c:v>
                </c:pt>
                <c:pt idx="22">
                  <c:v>0.28016359918200417</c:v>
                </c:pt>
                <c:pt idx="23">
                  <c:v>0.15138592750533036</c:v>
                </c:pt>
                <c:pt idx="24">
                  <c:v>0.1048593350383632</c:v>
                </c:pt>
                <c:pt idx="25">
                  <c:v>0.12066574202496515</c:v>
                </c:pt>
                <c:pt idx="26">
                  <c:v>0.12962962962962971</c:v>
                </c:pt>
                <c:pt idx="27">
                  <c:v>0.1400329489291598</c:v>
                </c:pt>
                <c:pt idx="28">
                  <c:v>0.13242784380305597</c:v>
                </c:pt>
                <c:pt idx="29">
                  <c:v>9.7297297297297414E-2</c:v>
                </c:pt>
                <c:pt idx="30">
                  <c:v>0.1368421052631579</c:v>
                </c:pt>
                <c:pt idx="31">
                  <c:v>0.13012477718360063</c:v>
                </c:pt>
                <c:pt idx="32">
                  <c:v>0.14751552795031053</c:v>
                </c:pt>
                <c:pt idx="33">
                  <c:v>0.15432098765432095</c:v>
                </c:pt>
                <c:pt idx="34">
                  <c:v>0.15511551155115522</c:v>
                </c:pt>
                <c:pt idx="35">
                  <c:v>0.14469453376205788</c:v>
                </c:pt>
                <c:pt idx="36">
                  <c:v>0.1344000000000001</c:v>
                </c:pt>
                <c:pt idx="37">
                  <c:v>0.13942307692307684</c:v>
                </c:pt>
                <c:pt idx="38">
                  <c:v>0.14807302231237315</c:v>
                </c:pt>
                <c:pt idx="39">
                  <c:v>0.14785373608903016</c:v>
                </c:pt>
                <c:pt idx="40">
                  <c:v>0.13114754098360662</c:v>
                </c:pt>
                <c:pt idx="41">
                  <c:v>0.12645590682196356</c:v>
                </c:pt>
                <c:pt idx="42">
                  <c:v>0.13953488372093023</c:v>
                </c:pt>
                <c:pt idx="43">
                  <c:v>0.16903633491311199</c:v>
                </c:pt>
                <c:pt idx="44">
                  <c:v>0.14011516314779265</c:v>
                </c:pt>
                <c:pt idx="45">
                  <c:v>0.13211382113821138</c:v>
                </c:pt>
                <c:pt idx="46">
                  <c:v>0.13301282051282046</c:v>
                </c:pt>
                <c:pt idx="47">
                  <c:v>0.14046822742474901</c:v>
                </c:pt>
                <c:pt idx="48">
                  <c:v>0.14054927302100167</c:v>
                </c:pt>
                <c:pt idx="49">
                  <c:v>0.14814814814814811</c:v>
                </c:pt>
                <c:pt idx="50">
                  <c:v>8.8235294117647051E-2</c:v>
                </c:pt>
                <c:pt idx="51">
                  <c:v>9.6601073345259234E-2</c:v>
                </c:pt>
                <c:pt idx="52">
                  <c:v>0.1132404181184669</c:v>
                </c:pt>
                <c:pt idx="53">
                  <c:v>0.13253012048192758</c:v>
                </c:pt>
                <c:pt idx="54">
                  <c:v>0.11434108527131795</c:v>
                </c:pt>
                <c:pt idx="55">
                  <c:v>0.1070840197693575</c:v>
                </c:pt>
                <c:pt idx="56">
                  <c:v>0.11306042884990276</c:v>
                </c:pt>
                <c:pt idx="57">
                  <c:v>0.12748344370860931</c:v>
                </c:pt>
                <c:pt idx="58">
                  <c:v>0.14261460101867557</c:v>
                </c:pt>
                <c:pt idx="59">
                  <c:v>0.13479052823315102</c:v>
                </c:pt>
                <c:pt idx="60">
                  <c:v>0.15909090909090898</c:v>
                </c:pt>
                <c:pt idx="61">
                  <c:v>0.13354531001589812</c:v>
                </c:pt>
                <c:pt idx="62">
                  <c:v>0.16773162939297123</c:v>
                </c:pt>
                <c:pt idx="63">
                  <c:v>0.15151515151515152</c:v>
                </c:pt>
                <c:pt idx="64">
                  <c:v>0.20185185185185198</c:v>
                </c:pt>
                <c:pt idx="65">
                  <c:v>0.15897435897435905</c:v>
                </c:pt>
                <c:pt idx="66">
                  <c:v>0.12908496732026153</c:v>
                </c:pt>
                <c:pt idx="67">
                  <c:v>0.34930139720558884</c:v>
                </c:pt>
                <c:pt idx="68">
                  <c:v>0.14067278287461776</c:v>
                </c:pt>
                <c:pt idx="69">
                  <c:v>0.19056261343012704</c:v>
                </c:pt>
                <c:pt idx="70">
                  <c:v>0.16803953871499183</c:v>
                </c:pt>
                <c:pt idx="71">
                  <c:v>0.16253869969040249</c:v>
                </c:pt>
                <c:pt idx="72">
                  <c:v>0.16360601001669445</c:v>
                </c:pt>
                <c:pt idx="73">
                  <c:v>0.19836400817995917</c:v>
                </c:pt>
                <c:pt idx="74">
                  <c:v>0.17236024844720513</c:v>
                </c:pt>
                <c:pt idx="75">
                  <c:v>0.13627992633517477</c:v>
                </c:pt>
                <c:pt idx="76">
                  <c:v>0.13975155279503104</c:v>
                </c:pt>
                <c:pt idx="77">
                  <c:v>0.15409309791332276</c:v>
                </c:pt>
                <c:pt idx="78">
                  <c:v>0.15834767641996561</c:v>
                </c:pt>
                <c:pt idx="79">
                  <c:v>0.15424610051993051</c:v>
                </c:pt>
                <c:pt idx="80">
                  <c:v>0.13756613756613778</c:v>
                </c:pt>
                <c:pt idx="81">
                  <c:v>0.12786259541984737</c:v>
                </c:pt>
                <c:pt idx="82">
                  <c:v>0.15275590551181106</c:v>
                </c:pt>
                <c:pt idx="83">
                  <c:v>0.13636363636363635</c:v>
                </c:pt>
                <c:pt idx="84">
                  <c:v>0.12195121951219513</c:v>
                </c:pt>
                <c:pt idx="85">
                  <c:v>0.156794425087108</c:v>
                </c:pt>
                <c:pt idx="86">
                  <c:v>0.16695059625212944</c:v>
                </c:pt>
                <c:pt idx="87">
                  <c:v>0.14642262895174704</c:v>
                </c:pt>
                <c:pt idx="88">
                  <c:v>0.15408805031446535</c:v>
                </c:pt>
                <c:pt idx="89">
                  <c:v>0.17499999999999988</c:v>
                </c:pt>
                <c:pt idx="90">
                  <c:v>0.19278996865203757</c:v>
                </c:pt>
                <c:pt idx="91">
                  <c:v>0.19063004846526652</c:v>
                </c:pt>
                <c:pt idx="92">
                  <c:v>0.19370078740157473</c:v>
                </c:pt>
                <c:pt idx="93">
                  <c:v>0.17920000000000005</c:v>
                </c:pt>
                <c:pt idx="94">
                  <c:v>0.19062500000000004</c:v>
                </c:pt>
                <c:pt idx="95">
                  <c:v>0.18530884808013373</c:v>
                </c:pt>
                <c:pt idx="96">
                  <c:v>0.19781931464174457</c:v>
                </c:pt>
                <c:pt idx="97">
                  <c:v>0.17966573816155998</c:v>
                </c:pt>
                <c:pt idx="98">
                  <c:v>0.16396761133603258</c:v>
                </c:pt>
                <c:pt idx="99">
                  <c:v>0.19348268839103866</c:v>
                </c:pt>
                <c:pt idx="100">
                  <c:v>0.1632329635499207</c:v>
                </c:pt>
                <c:pt idx="101">
                  <c:v>0.1390532544378697</c:v>
                </c:pt>
                <c:pt idx="102">
                  <c:v>0.16040955631399328</c:v>
                </c:pt>
                <c:pt idx="103">
                  <c:v>0.16225749559082872</c:v>
                </c:pt>
                <c:pt idx="104">
                  <c:v>0.1783088235294118</c:v>
                </c:pt>
                <c:pt idx="105">
                  <c:v>0.15384615384615397</c:v>
                </c:pt>
                <c:pt idx="106">
                  <c:v>0.16426512968299697</c:v>
                </c:pt>
                <c:pt idx="107">
                  <c:v>0.15243902439024393</c:v>
                </c:pt>
                <c:pt idx="108">
                  <c:v>0.10754716981132081</c:v>
                </c:pt>
                <c:pt idx="109">
                  <c:v>0.12908011869436206</c:v>
                </c:pt>
                <c:pt idx="110">
                  <c:v>0.14754098360655729</c:v>
                </c:pt>
                <c:pt idx="111">
                  <c:v>0.15336463223787161</c:v>
                </c:pt>
                <c:pt idx="112">
                  <c:v>0.15999999999999995</c:v>
                </c:pt>
                <c:pt idx="113">
                  <c:v>0.13787375415282388</c:v>
                </c:pt>
                <c:pt idx="114">
                  <c:v>0.16160000000000013</c:v>
                </c:pt>
                <c:pt idx="115">
                  <c:v>0.14920634920634929</c:v>
                </c:pt>
                <c:pt idx="116">
                  <c:v>0.15508021390374341</c:v>
                </c:pt>
                <c:pt idx="117">
                  <c:v>0.11280487804878037</c:v>
                </c:pt>
                <c:pt idx="118">
                  <c:v>0.15397082658022693</c:v>
                </c:pt>
                <c:pt idx="119">
                  <c:v>0.15338645418326669</c:v>
                </c:pt>
                <c:pt idx="120">
                  <c:v>0.1267857142857142</c:v>
                </c:pt>
                <c:pt idx="121">
                  <c:v>0.13011152416356878</c:v>
                </c:pt>
                <c:pt idx="122">
                  <c:v>0.14509246088193462</c:v>
                </c:pt>
                <c:pt idx="123">
                  <c:v>0.16305916305916301</c:v>
                </c:pt>
                <c:pt idx="124">
                  <c:v>0.20072992700729925</c:v>
                </c:pt>
              </c:numCache>
            </c:numRef>
          </c:xVal>
          <c:yVal>
            <c:numRef>
              <c:f>soil_moistUre_18_10_15!$S$4:$S$128</c:f>
              <c:numCache>
                <c:formatCode>General</c:formatCode>
                <c:ptCount val="125"/>
                <c:pt idx="0">
                  <c:v>18.23</c:v>
                </c:pt>
                <c:pt idx="1">
                  <c:v>20.63</c:v>
                </c:pt>
                <c:pt idx="2">
                  <c:v>19.61</c:v>
                </c:pt>
                <c:pt idx="3">
                  <c:v>20.420000000000002</c:v>
                </c:pt>
                <c:pt idx="4">
                  <c:v>18.59</c:v>
                </c:pt>
                <c:pt idx="5">
                  <c:v>13.9</c:v>
                </c:pt>
                <c:pt idx="6">
                  <c:v>19.05</c:v>
                </c:pt>
                <c:pt idx="7">
                  <c:v>18.690000000000001</c:v>
                </c:pt>
                <c:pt idx="8">
                  <c:v>20.28</c:v>
                </c:pt>
                <c:pt idx="9">
                  <c:v>20.99</c:v>
                </c:pt>
                <c:pt idx="10">
                  <c:v>7.73</c:v>
                </c:pt>
                <c:pt idx="11">
                  <c:v>15.52</c:v>
                </c:pt>
                <c:pt idx="12">
                  <c:v>18.32</c:v>
                </c:pt>
                <c:pt idx="13">
                  <c:v>17.940000000000001</c:v>
                </c:pt>
                <c:pt idx="14">
                  <c:v>19.95</c:v>
                </c:pt>
                <c:pt idx="15">
                  <c:v>4.4800000000000004</c:v>
                </c:pt>
                <c:pt idx="16">
                  <c:v>14.7</c:v>
                </c:pt>
                <c:pt idx="17">
                  <c:v>16.690000000000001</c:v>
                </c:pt>
                <c:pt idx="18">
                  <c:v>14.21</c:v>
                </c:pt>
                <c:pt idx="19">
                  <c:v>14.89</c:v>
                </c:pt>
                <c:pt idx="20">
                  <c:v>19.61</c:v>
                </c:pt>
                <c:pt idx="21">
                  <c:v>22.28</c:v>
                </c:pt>
                <c:pt idx="22">
                  <c:v>20.3</c:v>
                </c:pt>
                <c:pt idx="23">
                  <c:v>19.25</c:v>
                </c:pt>
                <c:pt idx="24">
                  <c:v>22.4</c:v>
                </c:pt>
                <c:pt idx="25">
                  <c:v>6.76</c:v>
                </c:pt>
                <c:pt idx="26">
                  <c:v>18.71</c:v>
                </c:pt>
                <c:pt idx="27">
                  <c:v>21.52</c:v>
                </c:pt>
                <c:pt idx="28">
                  <c:v>18.13</c:v>
                </c:pt>
                <c:pt idx="29">
                  <c:v>16.940000000000001</c:v>
                </c:pt>
                <c:pt idx="30">
                  <c:v>3.24</c:v>
                </c:pt>
                <c:pt idx="31">
                  <c:v>14.99</c:v>
                </c:pt>
                <c:pt idx="32">
                  <c:v>17.399999999999999</c:v>
                </c:pt>
                <c:pt idx="33">
                  <c:v>19.399999999999999</c:v>
                </c:pt>
                <c:pt idx="34">
                  <c:v>21.26</c:v>
                </c:pt>
                <c:pt idx="35">
                  <c:v>1.78</c:v>
                </c:pt>
                <c:pt idx="36">
                  <c:v>12.45</c:v>
                </c:pt>
                <c:pt idx="37">
                  <c:v>16.440000000000001</c:v>
                </c:pt>
                <c:pt idx="38">
                  <c:v>19.47</c:v>
                </c:pt>
                <c:pt idx="39">
                  <c:v>20.88</c:v>
                </c:pt>
                <c:pt idx="40">
                  <c:v>13.52</c:v>
                </c:pt>
                <c:pt idx="41">
                  <c:v>18.45</c:v>
                </c:pt>
                <c:pt idx="42">
                  <c:v>21.22</c:v>
                </c:pt>
                <c:pt idx="43">
                  <c:v>21.83</c:v>
                </c:pt>
                <c:pt idx="44">
                  <c:v>22.01</c:v>
                </c:pt>
                <c:pt idx="45">
                  <c:v>13.74</c:v>
                </c:pt>
                <c:pt idx="46">
                  <c:v>18.79</c:v>
                </c:pt>
                <c:pt idx="47">
                  <c:v>19.399999999999999</c:v>
                </c:pt>
                <c:pt idx="48">
                  <c:v>23.12</c:v>
                </c:pt>
                <c:pt idx="49">
                  <c:v>23.59</c:v>
                </c:pt>
                <c:pt idx="50">
                  <c:v>17.86</c:v>
                </c:pt>
                <c:pt idx="51">
                  <c:v>19.899999999999999</c:v>
                </c:pt>
                <c:pt idx="52">
                  <c:v>21.47</c:v>
                </c:pt>
                <c:pt idx="53">
                  <c:v>22.33</c:v>
                </c:pt>
                <c:pt idx="54">
                  <c:v>23.43</c:v>
                </c:pt>
                <c:pt idx="55">
                  <c:v>20.399999999999999</c:v>
                </c:pt>
                <c:pt idx="56">
                  <c:v>18.059999999999999</c:v>
                </c:pt>
                <c:pt idx="57">
                  <c:v>18.079999999999998</c:v>
                </c:pt>
                <c:pt idx="58">
                  <c:v>20.329999999999998</c:v>
                </c:pt>
                <c:pt idx="59">
                  <c:v>21.99</c:v>
                </c:pt>
                <c:pt idx="60">
                  <c:v>26.32</c:v>
                </c:pt>
                <c:pt idx="61">
                  <c:v>20.329999999999998</c:v>
                </c:pt>
                <c:pt idx="62">
                  <c:v>22.27</c:v>
                </c:pt>
                <c:pt idx="63">
                  <c:v>23.64</c:v>
                </c:pt>
                <c:pt idx="64">
                  <c:v>24.89</c:v>
                </c:pt>
                <c:pt idx="65">
                  <c:v>23.41</c:v>
                </c:pt>
                <c:pt idx="66">
                  <c:v>20.51</c:v>
                </c:pt>
                <c:pt idx="67">
                  <c:v>22.59</c:v>
                </c:pt>
                <c:pt idx="68">
                  <c:v>23.1</c:v>
                </c:pt>
                <c:pt idx="69">
                  <c:v>24.83</c:v>
                </c:pt>
                <c:pt idx="70">
                  <c:v>22.92</c:v>
                </c:pt>
                <c:pt idx="71">
                  <c:v>18.43</c:v>
                </c:pt>
                <c:pt idx="72">
                  <c:v>18.52</c:v>
                </c:pt>
                <c:pt idx="73">
                  <c:v>21.75</c:v>
                </c:pt>
                <c:pt idx="74">
                  <c:v>23.74</c:v>
                </c:pt>
                <c:pt idx="75">
                  <c:v>13.94</c:v>
                </c:pt>
                <c:pt idx="76">
                  <c:v>17.89</c:v>
                </c:pt>
                <c:pt idx="77">
                  <c:v>19.47</c:v>
                </c:pt>
                <c:pt idx="78">
                  <c:v>20.84</c:v>
                </c:pt>
                <c:pt idx="79">
                  <c:v>22.07</c:v>
                </c:pt>
                <c:pt idx="80">
                  <c:v>7.49</c:v>
                </c:pt>
                <c:pt idx="81">
                  <c:v>16.03</c:v>
                </c:pt>
                <c:pt idx="82">
                  <c:v>17.52</c:v>
                </c:pt>
                <c:pt idx="83">
                  <c:v>20.37</c:v>
                </c:pt>
                <c:pt idx="84">
                  <c:v>21.29</c:v>
                </c:pt>
                <c:pt idx="85">
                  <c:v>19.46</c:v>
                </c:pt>
                <c:pt idx="86">
                  <c:v>17.239999999999998</c:v>
                </c:pt>
                <c:pt idx="87">
                  <c:v>17.41</c:v>
                </c:pt>
                <c:pt idx="88">
                  <c:v>21.37</c:v>
                </c:pt>
                <c:pt idx="89">
                  <c:v>23.88</c:v>
                </c:pt>
                <c:pt idx="90">
                  <c:v>16.02</c:v>
                </c:pt>
                <c:pt idx="91">
                  <c:v>26.09</c:v>
                </c:pt>
                <c:pt idx="92">
                  <c:v>27.51</c:v>
                </c:pt>
                <c:pt idx="93">
                  <c:v>27.92</c:v>
                </c:pt>
                <c:pt idx="94">
                  <c:v>28.81</c:v>
                </c:pt>
                <c:pt idx="95">
                  <c:v>13.05</c:v>
                </c:pt>
                <c:pt idx="96">
                  <c:v>27.1</c:v>
                </c:pt>
                <c:pt idx="97">
                  <c:v>28.37</c:v>
                </c:pt>
                <c:pt idx="98">
                  <c:v>27.66</c:v>
                </c:pt>
                <c:pt idx="99">
                  <c:v>26.34</c:v>
                </c:pt>
                <c:pt idx="100">
                  <c:v>11.63</c:v>
                </c:pt>
                <c:pt idx="101">
                  <c:v>22.94</c:v>
                </c:pt>
                <c:pt idx="102">
                  <c:v>21.83</c:v>
                </c:pt>
                <c:pt idx="103">
                  <c:v>21.28</c:v>
                </c:pt>
                <c:pt idx="104">
                  <c:v>15.72</c:v>
                </c:pt>
                <c:pt idx="105">
                  <c:v>12.31</c:v>
                </c:pt>
                <c:pt idx="106">
                  <c:v>23.29</c:v>
                </c:pt>
                <c:pt idx="107">
                  <c:v>23.01</c:v>
                </c:pt>
                <c:pt idx="108">
                  <c:v>23.11</c:v>
                </c:pt>
                <c:pt idx="109">
                  <c:v>24.19</c:v>
                </c:pt>
                <c:pt idx="110">
                  <c:v>12.97</c:v>
                </c:pt>
                <c:pt idx="111">
                  <c:v>20.94</c:v>
                </c:pt>
                <c:pt idx="112">
                  <c:v>19.95</c:v>
                </c:pt>
                <c:pt idx="113">
                  <c:v>21.71</c:v>
                </c:pt>
                <c:pt idx="114">
                  <c:v>25.56</c:v>
                </c:pt>
                <c:pt idx="115">
                  <c:v>13.04</c:v>
                </c:pt>
                <c:pt idx="116">
                  <c:v>21.56</c:v>
                </c:pt>
                <c:pt idx="117">
                  <c:v>20.22</c:v>
                </c:pt>
                <c:pt idx="118">
                  <c:v>22.57</c:v>
                </c:pt>
                <c:pt idx="119">
                  <c:v>21.9</c:v>
                </c:pt>
                <c:pt idx="120">
                  <c:v>22.66</c:v>
                </c:pt>
                <c:pt idx="121">
                  <c:v>16.55</c:v>
                </c:pt>
                <c:pt idx="122">
                  <c:v>20.49</c:v>
                </c:pt>
                <c:pt idx="123">
                  <c:v>20.95</c:v>
                </c:pt>
                <c:pt idx="124">
                  <c:v>22.4</c:v>
                </c:pt>
              </c:numCache>
            </c:numRef>
          </c:yVal>
        </c:ser>
        <c:axId val="113512832"/>
        <c:axId val="113514368"/>
      </c:scatterChart>
      <c:valAx>
        <c:axId val="113512832"/>
        <c:scaling>
          <c:orientation val="minMax"/>
        </c:scaling>
        <c:axPos val="b"/>
        <c:numFmt formatCode="General" sourceLinked="1"/>
        <c:tickLblPos val="nextTo"/>
        <c:crossAx val="113514368"/>
        <c:crosses val="autoZero"/>
        <c:crossBetween val="midCat"/>
      </c:valAx>
      <c:valAx>
        <c:axId val="113514368"/>
        <c:scaling>
          <c:orientation val="minMax"/>
        </c:scaling>
        <c:axPos val="l"/>
        <c:majorGridlines/>
        <c:numFmt formatCode="General" sourceLinked="1"/>
        <c:tickLblPos val="nextTo"/>
        <c:crossAx val="1135128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7451758084852277E-2"/>
                  <c:y val="-0.2240053587051619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2000"/>
                  </a:pPr>
                  <a:endParaRPr lang="en-US"/>
                </a:p>
              </c:txPr>
            </c:trendlineLbl>
          </c:trendline>
          <c:xVal>
            <c:numRef>
              <c:f>soil_moistUre_18_10_15!$T$4:$T$128</c:f>
              <c:numCache>
                <c:formatCode>General</c:formatCode>
                <c:ptCount val="125"/>
                <c:pt idx="0">
                  <c:v>16.29</c:v>
                </c:pt>
                <c:pt idx="1">
                  <c:v>18.98</c:v>
                </c:pt>
                <c:pt idx="2">
                  <c:v>20.21</c:v>
                </c:pt>
                <c:pt idx="3">
                  <c:v>19.32</c:v>
                </c:pt>
                <c:pt idx="4">
                  <c:v>18.55</c:v>
                </c:pt>
                <c:pt idx="5">
                  <c:v>12.26</c:v>
                </c:pt>
                <c:pt idx="6">
                  <c:v>18.12</c:v>
                </c:pt>
                <c:pt idx="7">
                  <c:v>20</c:v>
                </c:pt>
                <c:pt idx="8">
                  <c:v>20.91</c:v>
                </c:pt>
                <c:pt idx="9">
                  <c:v>21.19</c:v>
                </c:pt>
                <c:pt idx="10">
                  <c:v>3.06</c:v>
                </c:pt>
                <c:pt idx="11">
                  <c:v>15.19</c:v>
                </c:pt>
                <c:pt idx="12">
                  <c:v>18.68</c:v>
                </c:pt>
                <c:pt idx="13">
                  <c:v>18.14</c:v>
                </c:pt>
                <c:pt idx="14">
                  <c:v>19.829999999999998</c:v>
                </c:pt>
                <c:pt idx="15">
                  <c:v>3.5</c:v>
                </c:pt>
                <c:pt idx="16">
                  <c:v>14.7</c:v>
                </c:pt>
                <c:pt idx="17">
                  <c:v>16.64</c:v>
                </c:pt>
                <c:pt idx="18">
                  <c:v>14.76</c:v>
                </c:pt>
                <c:pt idx="19">
                  <c:v>14.61</c:v>
                </c:pt>
                <c:pt idx="20">
                  <c:v>20.52</c:v>
                </c:pt>
                <c:pt idx="21">
                  <c:v>22.62</c:v>
                </c:pt>
                <c:pt idx="23">
                  <c:v>19.510000000000002</c:v>
                </c:pt>
                <c:pt idx="24">
                  <c:v>21.59</c:v>
                </c:pt>
                <c:pt idx="26">
                  <c:v>18.54</c:v>
                </c:pt>
                <c:pt idx="27">
                  <c:v>21.86</c:v>
                </c:pt>
                <c:pt idx="28">
                  <c:v>18.309999999999999</c:v>
                </c:pt>
                <c:pt idx="29">
                  <c:v>16.5</c:v>
                </c:pt>
                <c:pt idx="30">
                  <c:v>20.82</c:v>
                </c:pt>
                <c:pt idx="31">
                  <c:v>19.04</c:v>
                </c:pt>
                <c:pt idx="32">
                  <c:v>19.23</c:v>
                </c:pt>
                <c:pt idx="33">
                  <c:v>22.03</c:v>
                </c:pt>
                <c:pt idx="34">
                  <c:v>23.44</c:v>
                </c:pt>
                <c:pt idx="35">
                  <c:v>19.38</c:v>
                </c:pt>
                <c:pt idx="36">
                  <c:v>20.3</c:v>
                </c:pt>
                <c:pt idx="37">
                  <c:v>22.19</c:v>
                </c:pt>
                <c:pt idx="38">
                  <c:v>23.34</c:v>
                </c:pt>
                <c:pt idx="39">
                  <c:v>23.23</c:v>
                </c:pt>
                <c:pt idx="40">
                  <c:v>12.74</c:v>
                </c:pt>
                <c:pt idx="41">
                  <c:v>17.010000000000002</c:v>
                </c:pt>
                <c:pt idx="42">
                  <c:v>19.48</c:v>
                </c:pt>
                <c:pt idx="43">
                  <c:v>23.61</c:v>
                </c:pt>
                <c:pt idx="44">
                  <c:v>23.17</c:v>
                </c:pt>
                <c:pt idx="45">
                  <c:v>11.58</c:v>
                </c:pt>
                <c:pt idx="46">
                  <c:v>17.28</c:v>
                </c:pt>
                <c:pt idx="47">
                  <c:v>19.079999999999998</c:v>
                </c:pt>
                <c:pt idx="48">
                  <c:v>20.27</c:v>
                </c:pt>
                <c:pt idx="49">
                  <c:v>21.27</c:v>
                </c:pt>
                <c:pt idx="50">
                  <c:v>2.81</c:v>
                </c:pt>
                <c:pt idx="51">
                  <c:v>12.21</c:v>
                </c:pt>
                <c:pt idx="52">
                  <c:v>15.21</c:v>
                </c:pt>
                <c:pt idx="53">
                  <c:v>18.73</c:v>
                </c:pt>
                <c:pt idx="54">
                  <c:v>20.75</c:v>
                </c:pt>
                <c:pt idx="56">
                  <c:v>15.54</c:v>
                </c:pt>
                <c:pt idx="57">
                  <c:v>17.350000000000001</c:v>
                </c:pt>
                <c:pt idx="58">
                  <c:v>19.32</c:v>
                </c:pt>
                <c:pt idx="59">
                  <c:v>21.5</c:v>
                </c:pt>
                <c:pt idx="60">
                  <c:v>24.42</c:v>
                </c:pt>
                <c:pt idx="61">
                  <c:v>20.81</c:v>
                </c:pt>
                <c:pt idx="62">
                  <c:v>22.55</c:v>
                </c:pt>
                <c:pt idx="63">
                  <c:v>22.62</c:v>
                </c:pt>
                <c:pt idx="64">
                  <c:v>24.36</c:v>
                </c:pt>
                <c:pt idx="65">
                  <c:v>22.74</c:v>
                </c:pt>
                <c:pt idx="66">
                  <c:v>19.77</c:v>
                </c:pt>
                <c:pt idx="68">
                  <c:v>23.52</c:v>
                </c:pt>
                <c:pt idx="69">
                  <c:v>24.3</c:v>
                </c:pt>
                <c:pt idx="70">
                  <c:v>20.43</c:v>
                </c:pt>
                <c:pt idx="71">
                  <c:v>18.05</c:v>
                </c:pt>
                <c:pt idx="72">
                  <c:v>20.82</c:v>
                </c:pt>
                <c:pt idx="73">
                  <c:v>21.72</c:v>
                </c:pt>
                <c:pt idx="74">
                  <c:v>23.3</c:v>
                </c:pt>
                <c:pt idx="75">
                  <c:v>14.5</c:v>
                </c:pt>
                <c:pt idx="76">
                  <c:v>17.2</c:v>
                </c:pt>
                <c:pt idx="77">
                  <c:v>18.84</c:v>
                </c:pt>
                <c:pt idx="78">
                  <c:v>20.22</c:v>
                </c:pt>
                <c:pt idx="79">
                  <c:v>21.46</c:v>
                </c:pt>
                <c:pt idx="80">
                  <c:v>8.6</c:v>
                </c:pt>
                <c:pt idx="81">
                  <c:v>15.06</c:v>
                </c:pt>
                <c:pt idx="82">
                  <c:v>17.149999999999999</c:v>
                </c:pt>
                <c:pt idx="83">
                  <c:v>20.65</c:v>
                </c:pt>
                <c:pt idx="84">
                  <c:v>21.44</c:v>
                </c:pt>
                <c:pt idx="85">
                  <c:v>21.41</c:v>
                </c:pt>
                <c:pt idx="86">
                  <c:v>18.559999999999999</c:v>
                </c:pt>
                <c:pt idx="87">
                  <c:v>20.55</c:v>
                </c:pt>
                <c:pt idx="88">
                  <c:v>21.53</c:v>
                </c:pt>
                <c:pt idx="89">
                  <c:v>23.7</c:v>
                </c:pt>
                <c:pt idx="90">
                  <c:v>14.05</c:v>
                </c:pt>
                <c:pt idx="91">
                  <c:v>25.54</c:v>
                </c:pt>
                <c:pt idx="92">
                  <c:v>26.85</c:v>
                </c:pt>
                <c:pt idx="93">
                  <c:v>28.2</c:v>
                </c:pt>
                <c:pt idx="94">
                  <c:v>28.37</c:v>
                </c:pt>
                <c:pt idx="95">
                  <c:v>14.83</c:v>
                </c:pt>
                <c:pt idx="96">
                  <c:v>28.55</c:v>
                </c:pt>
                <c:pt idx="97">
                  <c:v>28.15</c:v>
                </c:pt>
                <c:pt idx="98">
                  <c:v>27.48</c:v>
                </c:pt>
                <c:pt idx="99">
                  <c:v>26.46</c:v>
                </c:pt>
                <c:pt idx="100">
                  <c:v>12.13</c:v>
                </c:pt>
                <c:pt idx="101">
                  <c:v>22.22</c:v>
                </c:pt>
                <c:pt idx="102">
                  <c:v>22.18</c:v>
                </c:pt>
                <c:pt idx="103">
                  <c:v>22.95</c:v>
                </c:pt>
                <c:pt idx="104">
                  <c:v>25.01</c:v>
                </c:pt>
                <c:pt idx="105">
                  <c:v>12.61</c:v>
                </c:pt>
                <c:pt idx="106">
                  <c:v>23.56</c:v>
                </c:pt>
                <c:pt idx="107">
                  <c:v>21.45</c:v>
                </c:pt>
                <c:pt idx="108">
                  <c:v>20.85</c:v>
                </c:pt>
                <c:pt idx="109">
                  <c:v>14.4</c:v>
                </c:pt>
                <c:pt idx="110">
                  <c:v>14.37</c:v>
                </c:pt>
                <c:pt idx="111">
                  <c:v>22.12</c:v>
                </c:pt>
                <c:pt idx="112">
                  <c:v>20.010000000000002</c:v>
                </c:pt>
                <c:pt idx="113">
                  <c:v>22.12</c:v>
                </c:pt>
                <c:pt idx="114">
                  <c:v>25.83</c:v>
                </c:pt>
                <c:pt idx="115">
                  <c:v>12.46</c:v>
                </c:pt>
                <c:pt idx="116">
                  <c:v>21.87</c:v>
                </c:pt>
                <c:pt idx="117">
                  <c:v>21.27</c:v>
                </c:pt>
                <c:pt idx="118">
                  <c:v>22.98</c:v>
                </c:pt>
                <c:pt idx="119">
                  <c:v>22.13</c:v>
                </c:pt>
                <c:pt idx="120">
                  <c:v>13.79</c:v>
                </c:pt>
                <c:pt idx="121">
                  <c:v>12.57</c:v>
                </c:pt>
                <c:pt idx="122">
                  <c:v>20.67</c:v>
                </c:pt>
                <c:pt idx="123">
                  <c:v>20.95</c:v>
                </c:pt>
                <c:pt idx="124">
                  <c:v>22.31</c:v>
                </c:pt>
              </c:numCache>
            </c:numRef>
          </c:xVal>
          <c:yVal>
            <c:numRef>
              <c:f>soil_moistUre_18_10_15!$R$4:$R$128</c:f>
              <c:numCache>
                <c:formatCode>General</c:formatCode>
                <c:ptCount val="125"/>
                <c:pt idx="0">
                  <c:v>0.129955947136564</c:v>
                </c:pt>
                <c:pt idx="1">
                  <c:v>0.13452188006482976</c:v>
                </c:pt>
                <c:pt idx="2">
                  <c:v>0.17175572519083968</c:v>
                </c:pt>
                <c:pt idx="3">
                  <c:v>0.13831775700934565</c:v>
                </c:pt>
                <c:pt idx="4">
                  <c:v>0.11900532859680289</c:v>
                </c:pt>
                <c:pt idx="5">
                  <c:v>0.14578005115089523</c:v>
                </c:pt>
                <c:pt idx="6">
                  <c:v>0.15384615384615369</c:v>
                </c:pt>
                <c:pt idx="7">
                  <c:v>0.19483101391650096</c:v>
                </c:pt>
                <c:pt idx="8">
                  <c:v>0.18959107806691428</c:v>
                </c:pt>
                <c:pt idx="9">
                  <c:v>0.14203454894433792</c:v>
                </c:pt>
                <c:pt idx="10">
                  <c:v>9.8720292504570498E-2</c:v>
                </c:pt>
                <c:pt idx="11">
                  <c:v>0.11754068716094032</c:v>
                </c:pt>
                <c:pt idx="12">
                  <c:v>0.11742424242424249</c:v>
                </c:pt>
                <c:pt idx="13">
                  <c:v>0.1260162601626017</c:v>
                </c:pt>
                <c:pt idx="14">
                  <c:v>0.11669658886894076</c:v>
                </c:pt>
                <c:pt idx="15" formatCode="0.000">
                  <c:v>7.3552425665101534E-2</c:v>
                </c:pt>
                <c:pt idx="16">
                  <c:v>8.2390953150242238E-2</c:v>
                </c:pt>
                <c:pt idx="17">
                  <c:v>9.8106712564543938E-2</c:v>
                </c:pt>
                <c:pt idx="18">
                  <c:v>9.1726618705035859E-2</c:v>
                </c:pt>
                <c:pt idx="19">
                  <c:v>7.414104882459302E-2</c:v>
                </c:pt>
                <c:pt idx="20">
                  <c:v>0.14513556618819792</c:v>
                </c:pt>
                <c:pt idx="21">
                  <c:v>0.15167785234899325</c:v>
                </c:pt>
                <c:pt idx="22">
                  <c:v>0.28016359918200417</c:v>
                </c:pt>
                <c:pt idx="23">
                  <c:v>0.15138592750533036</c:v>
                </c:pt>
                <c:pt idx="24">
                  <c:v>0.1048593350383632</c:v>
                </c:pt>
                <c:pt idx="25">
                  <c:v>0.12066574202496515</c:v>
                </c:pt>
                <c:pt idx="26">
                  <c:v>0.12962962962962971</c:v>
                </c:pt>
                <c:pt idx="27">
                  <c:v>0.1400329489291598</c:v>
                </c:pt>
                <c:pt idx="28">
                  <c:v>0.13242784380305597</c:v>
                </c:pt>
                <c:pt idx="29">
                  <c:v>9.7297297297297414E-2</c:v>
                </c:pt>
                <c:pt idx="30">
                  <c:v>0.1368421052631579</c:v>
                </c:pt>
                <c:pt idx="31">
                  <c:v>0.13012477718360063</c:v>
                </c:pt>
                <c:pt idx="32">
                  <c:v>0.14751552795031053</c:v>
                </c:pt>
                <c:pt idx="33">
                  <c:v>0.15432098765432095</c:v>
                </c:pt>
                <c:pt idx="34">
                  <c:v>0.15511551155115522</c:v>
                </c:pt>
                <c:pt idx="35">
                  <c:v>0.14469453376205788</c:v>
                </c:pt>
                <c:pt idx="36">
                  <c:v>0.1344000000000001</c:v>
                </c:pt>
                <c:pt idx="37">
                  <c:v>0.13942307692307684</c:v>
                </c:pt>
                <c:pt idx="38">
                  <c:v>0.14807302231237315</c:v>
                </c:pt>
                <c:pt idx="39">
                  <c:v>0.14785373608903016</c:v>
                </c:pt>
                <c:pt idx="40">
                  <c:v>0.13114754098360662</c:v>
                </c:pt>
                <c:pt idx="41">
                  <c:v>0.12645590682196356</c:v>
                </c:pt>
                <c:pt idx="42">
                  <c:v>0.13953488372093023</c:v>
                </c:pt>
                <c:pt idx="43">
                  <c:v>0.16903633491311199</c:v>
                </c:pt>
                <c:pt idx="44">
                  <c:v>0.14011516314779265</c:v>
                </c:pt>
                <c:pt idx="45">
                  <c:v>0.13211382113821138</c:v>
                </c:pt>
                <c:pt idx="46">
                  <c:v>0.13301282051282046</c:v>
                </c:pt>
                <c:pt idx="47">
                  <c:v>0.14046822742474901</c:v>
                </c:pt>
                <c:pt idx="48">
                  <c:v>0.14054927302100167</c:v>
                </c:pt>
                <c:pt idx="49">
                  <c:v>0.14814814814814811</c:v>
                </c:pt>
                <c:pt idx="50">
                  <c:v>8.8235294117647051E-2</c:v>
                </c:pt>
                <c:pt idx="51">
                  <c:v>9.6601073345259234E-2</c:v>
                </c:pt>
                <c:pt idx="52">
                  <c:v>0.1132404181184669</c:v>
                </c:pt>
                <c:pt idx="53">
                  <c:v>0.13253012048192758</c:v>
                </c:pt>
                <c:pt idx="54">
                  <c:v>0.11434108527131795</c:v>
                </c:pt>
                <c:pt idx="55">
                  <c:v>0.1070840197693575</c:v>
                </c:pt>
                <c:pt idx="56">
                  <c:v>0.11306042884990276</c:v>
                </c:pt>
                <c:pt idx="57">
                  <c:v>0.12748344370860931</c:v>
                </c:pt>
                <c:pt idx="58">
                  <c:v>0.14261460101867557</c:v>
                </c:pt>
                <c:pt idx="59">
                  <c:v>0.13479052823315102</c:v>
                </c:pt>
                <c:pt idx="60">
                  <c:v>0.15909090909090898</c:v>
                </c:pt>
                <c:pt idx="61">
                  <c:v>0.13354531001589812</c:v>
                </c:pt>
                <c:pt idx="62">
                  <c:v>0.16773162939297123</c:v>
                </c:pt>
                <c:pt idx="63">
                  <c:v>0.15151515151515152</c:v>
                </c:pt>
                <c:pt idx="64">
                  <c:v>0.20185185185185198</c:v>
                </c:pt>
                <c:pt idx="65">
                  <c:v>0.15897435897435905</c:v>
                </c:pt>
                <c:pt idx="66">
                  <c:v>0.12908496732026153</c:v>
                </c:pt>
                <c:pt idx="67">
                  <c:v>0.34930139720558884</c:v>
                </c:pt>
                <c:pt idx="68">
                  <c:v>0.14067278287461776</c:v>
                </c:pt>
                <c:pt idx="69">
                  <c:v>0.19056261343012704</c:v>
                </c:pt>
                <c:pt idx="70">
                  <c:v>0.16803953871499183</c:v>
                </c:pt>
                <c:pt idx="71">
                  <c:v>0.16253869969040249</c:v>
                </c:pt>
                <c:pt idx="72">
                  <c:v>0.16360601001669445</c:v>
                </c:pt>
                <c:pt idx="73">
                  <c:v>0.19836400817995917</c:v>
                </c:pt>
                <c:pt idx="74">
                  <c:v>0.17236024844720513</c:v>
                </c:pt>
                <c:pt idx="75">
                  <c:v>0.13627992633517477</c:v>
                </c:pt>
                <c:pt idx="76">
                  <c:v>0.13975155279503104</c:v>
                </c:pt>
                <c:pt idx="77">
                  <c:v>0.15409309791332276</c:v>
                </c:pt>
                <c:pt idx="78">
                  <c:v>0.15834767641996561</c:v>
                </c:pt>
                <c:pt idx="79">
                  <c:v>0.15424610051993051</c:v>
                </c:pt>
                <c:pt idx="80">
                  <c:v>0.13756613756613778</c:v>
                </c:pt>
                <c:pt idx="81">
                  <c:v>0.12786259541984737</c:v>
                </c:pt>
                <c:pt idx="82">
                  <c:v>0.15275590551181106</c:v>
                </c:pt>
                <c:pt idx="83">
                  <c:v>0.13636363636363635</c:v>
                </c:pt>
                <c:pt idx="84">
                  <c:v>0.12195121951219513</c:v>
                </c:pt>
                <c:pt idx="85">
                  <c:v>0.156794425087108</c:v>
                </c:pt>
                <c:pt idx="86">
                  <c:v>0.16695059625212944</c:v>
                </c:pt>
                <c:pt idx="87">
                  <c:v>0.14642262895174704</c:v>
                </c:pt>
                <c:pt idx="88">
                  <c:v>0.15408805031446535</c:v>
                </c:pt>
                <c:pt idx="89">
                  <c:v>0.17499999999999988</c:v>
                </c:pt>
                <c:pt idx="90">
                  <c:v>0.19278996865203757</c:v>
                </c:pt>
                <c:pt idx="91">
                  <c:v>0.19063004846526652</c:v>
                </c:pt>
                <c:pt idx="92">
                  <c:v>0.19370078740157473</c:v>
                </c:pt>
                <c:pt idx="93">
                  <c:v>0.17920000000000005</c:v>
                </c:pt>
                <c:pt idx="94">
                  <c:v>0.19062500000000004</c:v>
                </c:pt>
                <c:pt idx="95">
                  <c:v>0.18530884808013373</c:v>
                </c:pt>
                <c:pt idx="96">
                  <c:v>0.19781931464174457</c:v>
                </c:pt>
                <c:pt idx="97">
                  <c:v>0.17966573816155998</c:v>
                </c:pt>
                <c:pt idx="98">
                  <c:v>0.16396761133603258</c:v>
                </c:pt>
                <c:pt idx="99">
                  <c:v>0.19348268839103866</c:v>
                </c:pt>
                <c:pt idx="100">
                  <c:v>0.1632329635499207</c:v>
                </c:pt>
                <c:pt idx="101">
                  <c:v>0.1390532544378697</c:v>
                </c:pt>
                <c:pt idx="102">
                  <c:v>0.16040955631399328</c:v>
                </c:pt>
                <c:pt idx="103">
                  <c:v>0.16225749559082872</c:v>
                </c:pt>
                <c:pt idx="104">
                  <c:v>0.1783088235294118</c:v>
                </c:pt>
                <c:pt idx="105">
                  <c:v>0.15384615384615397</c:v>
                </c:pt>
                <c:pt idx="106">
                  <c:v>0.16426512968299697</c:v>
                </c:pt>
                <c:pt idx="107">
                  <c:v>0.15243902439024393</c:v>
                </c:pt>
                <c:pt idx="108">
                  <c:v>0.10754716981132081</c:v>
                </c:pt>
                <c:pt idx="109">
                  <c:v>0.12908011869436206</c:v>
                </c:pt>
                <c:pt idx="110">
                  <c:v>0.14754098360655729</c:v>
                </c:pt>
                <c:pt idx="111">
                  <c:v>0.15336463223787161</c:v>
                </c:pt>
                <c:pt idx="112">
                  <c:v>0.15999999999999995</c:v>
                </c:pt>
                <c:pt idx="113">
                  <c:v>0.13787375415282388</c:v>
                </c:pt>
                <c:pt idx="114">
                  <c:v>0.16160000000000013</c:v>
                </c:pt>
                <c:pt idx="115">
                  <c:v>0.14920634920634929</c:v>
                </c:pt>
                <c:pt idx="116">
                  <c:v>0.15508021390374341</c:v>
                </c:pt>
                <c:pt idx="117">
                  <c:v>0.11280487804878037</c:v>
                </c:pt>
                <c:pt idx="118">
                  <c:v>0.15397082658022693</c:v>
                </c:pt>
                <c:pt idx="119">
                  <c:v>0.15338645418326669</c:v>
                </c:pt>
                <c:pt idx="120">
                  <c:v>0.1267857142857142</c:v>
                </c:pt>
                <c:pt idx="121">
                  <c:v>0.13011152416356878</c:v>
                </c:pt>
                <c:pt idx="122">
                  <c:v>0.14509246088193462</c:v>
                </c:pt>
                <c:pt idx="123">
                  <c:v>0.16305916305916301</c:v>
                </c:pt>
                <c:pt idx="124">
                  <c:v>0.20072992700729925</c:v>
                </c:pt>
              </c:numCache>
            </c:numRef>
          </c:yVal>
        </c:ser>
        <c:axId val="113560576"/>
        <c:axId val="113562368"/>
      </c:scatterChart>
      <c:valAx>
        <c:axId val="113560576"/>
        <c:scaling>
          <c:orientation val="minMax"/>
        </c:scaling>
        <c:axPos val="b"/>
        <c:numFmt formatCode="General" sourceLinked="1"/>
        <c:tickLblPos val="nextTo"/>
        <c:crossAx val="113562368"/>
        <c:crosses val="autoZero"/>
        <c:crossBetween val="midCat"/>
      </c:valAx>
      <c:valAx>
        <c:axId val="113562368"/>
        <c:scaling>
          <c:orientation val="minMax"/>
        </c:scaling>
        <c:axPos val="l"/>
        <c:majorGridlines/>
        <c:numFmt formatCode="General" sourceLinked="1"/>
        <c:tickLblPos val="nextTo"/>
        <c:crossAx val="11356057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4613004769752644"/>
                  <c:y val="8.2181315173441197E-2"/>
                </c:manualLayout>
              </c:layout>
              <c:numFmt formatCode="General" sourceLinked="0"/>
            </c:trendlineLbl>
          </c:trendline>
          <c:xVal>
            <c:numRef>
              <c:f>EC_meter_9_ноя_2015!$I$3:$I$26</c:f>
              <c:numCache>
                <c:formatCode>0.0</c:formatCode>
                <c:ptCount val="24"/>
                <c:pt idx="0">
                  <c:v>2.0420000000000003</c:v>
                </c:pt>
                <c:pt idx="1">
                  <c:v>1.9340000000000002</c:v>
                </c:pt>
                <c:pt idx="2">
                  <c:v>2.0150000000000001</c:v>
                </c:pt>
                <c:pt idx="3">
                  <c:v>5.39</c:v>
                </c:pt>
                <c:pt idx="4">
                  <c:v>2.3660000000000001</c:v>
                </c:pt>
                <c:pt idx="5">
                  <c:v>1.9610000000000001</c:v>
                </c:pt>
                <c:pt idx="6">
                  <c:v>8.2520000000000007</c:v>
                </c:pt>
                <c:pt idx="7">
                  <c:v>11.276000000000002</c:v>
                </c:pt>
                <c:pt idx="8">
                  <c:v>6.335</c:v>
                </c:pt>
                <c:pt idx="9">
                  <c:v>6.4160000000000004</c:v>
                </c:pt>
                <c:pt idx="10">
                  <c:v>6.5780000000000003</c:v>
                </c:pt>
                <c:pt idx="11">
                  <c:v>10.331000000000001</c:v>
                </c:pt>
                <c:pt idx="12">
                  <c:v>1.5020000000000002</c:v>
                </c:pt>
                <c:pt idx="13">
                  <c:v>2.69</c:v>
                </c:pt>
                <c:pt idx="14">
                  <c:v>2.69</c:v>
                </c:pt>
                <c:pt idx="15">
                  <c:v>2.1230000000000002</c:v>
                </c:pt>
                <c:pt idx="16">
                  <c:v>2.69</c:v>
                </c:pt>
                <c:pt idx="17">
                  <c:v>2.2850000000000001</c:v>
                </c:pt>
                <c:pt idx="18">
                  <c:v>1.448</c:v>
                </c:pt>
                <c:pt idx="19">
                  <c:v>3.3109999999999999</c:v>
                </c:pt>
                <c:pt idx="20">
                  <c:v>2.2850000000000001</c:v>
                </c:pt>
                <c:pt idx="21">
                  <c:v>2.8520000000000003</c:v>
                </c:pt>
                <c:pt idx="22">
                  <c:v>2.4470000000000001</c:v>
                </c:pt>
                <c:pt idx="23">
                  <c:v>1.772</c:v>
                </c:pt>
              </c:numCache>
            </c:numRef>
          </c:xVal>
          <c:yVal>
            <c:numRef>
              <c:f>EC_meter_9_ноя_2015!$L$3:$L$26</c:f>
              <c:numCache>
                <c:formatCode>0.00</c:formatCode>
                <c:ptCount val="24"/>
                <c:pt idx="0">
                  <c:v>2.6891350868794479</c:v>
                </c:pt>
                <c:pt idx="1">
                  <c:v>3.1618886090471658</c:v>
                </c:pt>
                <c:pt idx="2">
                  <c:v>3.9956539117793231</c:v>
                </c:pt>
                <c:pt idx="3">
                  <c:v>4.8809923260206869</c:v>
                </c:pt>
                <c:pt idx="4">
                  <c:v>5.5772293313949621</c:v>
                </c:pt>
                <c:pt idx="5">
                  <c:v>3.4885183152721346</c:v>
                </c:pt>
                <c:pt idx="6">
                  <c:v>12.462239717873913</c:v>
                </c:pt>
                <c:pt idx="7">
                  <c:v>12.290329346176563</c:v>
                </c:pt>
                <c:pt idx="8">
                  <c:v>10.407910776090556</c:v>
                </c:pt>
                <c:pt idx="9">
                  <c:v>8.5856608360986257</c:v>
                </c:pt>
                <c:pt idx="10">
                  <c:v>8.9896502095874027</c:v>
                </c:pt>
                <c:pt idx="11">
                  <c:v>8.6286384290229634</c:v>
                </c:pt>
                <c:pt idx="12">
                  <c:v>2.7664947541432561</c:v>
                </c:pt>
                <c:pt idx="13">
                  <c:v>3.4369452037629289</c:v>
                </c:pt>
                <c:pt idx="14">
                  <c:v>3.4541362409326641</c:v>
                </c:pt>
                <c:pt idx="15">
                  <c:v>5.4482965526219491</c:v>
                </c:pt>
                <c:pt idx="16">
                  <c:v>6.2734663367692391</c:v>
                </c:pt>
                <c:pt idx="17">
                  <c:v>5.2334085880002581</c:v>
                </c:pt>
                <c:pt idx="18">
                  <c:v>2.8094723470675937</c:v>
                </c:pt>
                <c:pt idx="19">
                  <c:v>2.6375619753702422</c:v>
                </c:pt>
                <c:pt idx="20">
                  <c:v>3.4369452037629289</c:v>
                </c:pt>
                <c:pt idx="21">
                  <c:v>3.2306527577261068</c:v>
                </c:pt>
                <c:pt idx="22">
                  <c:v>2.5645000673988672</c:v>
                </c:pt>
                <c:pt idx="23">
                  <c:v>2.8008768284827266</c:v>
                </c:pt>
              </c:numCache>
            </c:numRef>
          </c:yVal>
        </c:ser>
        <c:axId val="115737728"/>
        <c:axId val="115739648"/>
      </c:scatterChart>
      <c:valAx>
        <c:axId val="115737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EC,</a:t>
                </a:r>
                <a:r>
                  <a:rPr lang="en-US" baseline="0"/>
                  <a:t> 7.5 cm, dS/m</a:t>
                </a:r>
                <a:endParaRPr lang="en-US"/>
              </a:p>
            </c:rich>
          </c:tx>
          <c:layout/>
        </c:title>
        <c:numFmt formatCode="0.0" sourceLinked="1"/>
        <c:tickLblPos val="nextTo"/>
        <c:crossAx val="115739648"/>
        <c:crosses val="autoZero"/>
        <c:crossBetween val="midCat"/>
      </c:valAx>
      <c:valAx>
        <c:axId val="1157396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EM-38, dS/m,</a:t>
                </a:r>
                <a:r>
                  <a:rPr lang="en-US" baseline="0"/>
                  <a:t> 0-75 cm</a:t>
                </a:r>
                <a:endParaRPr lang="en-US"/>
              </a:p>
            </c:rich>
          </c:tx>
          <c:layout/>
        </c:title>
        <c:numFmt formatCode="0.00" sourceLinked="1"/>
        <c:tickLblPos val="nextTo"/>
        <c:crossAx val="11573772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4613004769752644"/>
                  <c:y val="8.2181315173441197E-2"/>
                </c:manualLayout>
              </c:layout>
              <c:numFmt formatCode="General" sourceLinked="0"/>
            </c:trendlineLbl>
          </c:trendline>
          <c:xVal>
            <c:numRef>
              <c:f>EC_meter_23_Sep_2015!$I$3:$I$26</c:f>
              <c:numCache>
                <c:formatCode>0.0</c:formatCode>
                <c:ptCount val="24"/>
                <c:pt idx="0">
                  <c:v>1.8260000000000001</c:v>
                </c:pt>
                <c:pt idx="1">
                  <c:v>2.2850000000000001</c:v>
                </c:pt>
                <c:pt idx="2">
                  <c:v>1.9610000000000001</c:v>
                </c:pt>
                <c:pt idx="3">
                  <c:v>1.2050000000000001</c:v>
                </c:pt>
                <c:pt idx="4">
                  <c:v>4.2830000000000004</c:v>
                </c:pt>
                <c:pt idx="5">
                  <c:v>2.609</c:v>
                </c:pt>
                <c:pt idx="6">
                  <c:v>2.798</c:v>
                </c:pt>
                <c:pt idx="7">
                  <c:v>2.9330000000000007</c:v>
                </c:pt>
                <c:pt idx="8">
                  <c:v>3.8780000000000001</c:v>
                </c:pt>
                <c:pt idx="9">
                  <c:v>2.7170000000000001</c:v>
                </c:pt>
                <c:pt idx="10">
                  <c:v>3.2030000000000003</c:v>
                </c:pt>
                <c:pt idx="11">
                  <c:v>3.8240000000000007</c:v>
                </c:pt>
                <c:pt idx="12">
                  <c:v>3.5810000000000004</c:v>
                </c:pt>
                <c:pt idx="13">
                  <c:v>6.1189999999999998</c:v>
                </c:pt>
                <c:pt idx="14">
                  <c:v>3.2570000000000006</c:v>
                </c:pt>
                <c:pt idx="15">
                  <c:v>4.1480000000000006</c:v>
                </c:pt>
                <c:pt idx="16">
                  <c:v>2.0420000000000003</c:v>
                </c:pt>
                <c:pt idx="17">
                  <c:v>4.0940000000000003</c:v>
                </c:pt>
                <c:pt idx="18">
                  <c:v>1.772</c:v>
                </c:pt>
                <c:pt idx="19">
                  <c:v>2.2040000000000002</c:v>
                </c:pt>
                <c:pt idx="20">
                  <c:v>1.61</c:v>
                </c:pt>
                <c:pt idx="21">
                  <c:v>2.798</c:v>
                </c:pt>
                <c:pt idx="22">
                  <c:v>1.34</c:v>
                </c:pt>
                <c:pt idx="23">
                  <c:v>1.4210000000000003</c:v>
                </c:pt>
              </c:numCache>
            </c:numRef>
          </c:xVal>
          <c:yVal>
            <c:numRef>
              <c:f>EC_meter_23_Sep_2015!$L$3:$L$26</c:f>
              <c:numCache>
                <c:formatCode>0.00</c:formatCode>
                <c:ptCount val="24"/>
                <c:pt idx="0">
                  <c:v>3.4251869620879196</c:v>
                </c:pt>
                <c:pt idx="1">
                  <c:v>3.2769258644348573</c:v>
                </c:pt>
                <c:pt idx="2">
                  <c:v>2.6838814738226109</c:v>
                </c:pt>
                <c:pt idx="3">
                  <c:v>2.3303357794191566</c:v>
                </c:pt>
                <c:pt idx="4">
                  <c:v>2.0794323833908979</c:v>
                </c:pt>
                <c:pt idx="5">
                  <c:v>1.5719232414246485</c:v>
                </c:pt>
                <c:pt idx="6">
                  <c:v>3.9098867044152366</c:v>
                </c:pt>
                <c:pt idx="7">
                  <c:v>4.3945864467425535</c:v>
                </c:pt>
                <c:pt idx="8">
                  <c:v>3.3681634629905881</c:v>
                </c:pt>
                <c:pt idx="9">
                  <c:v>3.522126910553383</c:v>
                </c:pt>
                <c:pt idx="10">
                  <c:v>4.8963932387990701</c:v>
                </c:pt>
                <c:pt idx="11">
                  <c:v>3.2199023653375258</c:v>
                </c:pt>
                <c:pt idx="12">
                  <c:v>4.668299242409744</c:v>
                </c:pt>
                <c:pt idx="13">
                  <c:v>4.3489676474646881</c:v>
                </c:pt>
                <c:pt idx="14">
                  <c:v>4.6226804431318795</c:v>
                </c:pt>
                <c:pt idx="15">
                  <c:v>4.1893018499921606</c:v>
                </c:pt>
                <c:pt idx="16">
                  <c:v>4.1550877505337613</c:v>
                </c:pt>
                <c:pt idx="17">
                  <c:v>4.5941686935832129</c:v>
                </c:pt>
                <c:pt idx="18">
                  <c:v>6.3847065652394202</c:v>
                </c:pt>
                <c:pt idx="19">
                  <c:v>6.5386700128022142</c:v>
                </c:pt>
                <c:pt idx="20">
                  <c:v>5.2841530326609236</c:v>
                </c:pt>
                <c:pt idx="21">
                  <c:v>5.1301895850981287</c:v>
                </c:pt>
                <c:pt idx="22">
                  <c:v>4.6454898427708118</c:v>
                </c:pt>
                <c:pt idx="23">
                  <c:v>5.1187848852786626</c:v>
                </c:pt>
              </c:numCache>
            </c:numRef>
          </c:yVal>
        </c:ser>
        <c:axId val="115777536"/>
        <c:axId val="115779456"/>
      </c:scatterChart>
      <c:valAx>
        <c:axId val="115777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EC,</a:t>
                </a:r>
                <a:r>
                  <a:rPr lang="en-US" baseline="0"/>
                  <a:t> 7.5 cm, dS/m</a:t>
                </a:r>
                <a:endParaRPr lang="en-US"/>
              </a:p>
            </c:rich>
          </c:tx>
          <c:layout/>
        </c:title>
        <c:numFmt formatCode="0.0" sourceLinked="1"/>
        <c:tickLblPos val="nextTo"/>
        <c:crossAx val="115779456"/>
        <c:crosses val="autoZero"/>
        <c:crossBetween val="midCat"/>
      </c:valAx>
      <c:valAx>
        <c:axId val="1157794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EM-38, dS/m,</a:t>
                </a:r>
                <a:r>
                  <a:rPr lang="en-US" baseline="0"/>
                  <a:t> 0-75 cm</a:t>
                </a:r>
                <a:endParaRPr lang="en-US"/>
              </a:p>
            </c:rich>
          </c:tx>
          <c:layout/>
        </c:title>
        <c:numFmt formatCode="0.00" sourceLinked="1"/>
        <c:tickLblPos val="nextTo"/>
        <c:crossAx val="1157775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651098291857893"/>
          <c:y val="0.18416998574478891"/>
          <c:w val="0.73375283169817795"/>
          <c:h val="0.78132334856744257"/>
        </c:manualLayout>
      </c:layout>
      <c:scatterChart>
        <c:scatterStyle val="smoothMarker"/>
        <c:ser>
          <c:idx val="0"/>
          <c:order val="0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Groundwater_quality1!$D$12:$I$12</c:f>
              <c:numCache>
                <c:formatCode>0.00</c:formatCode>
                <c:ptCount val="6"/>
                <c:pt idx="0">
                  <c:v>0.99</c:v>
                </c:pt>
                <c:pt idx="1">
                  <c:v>1.05</c:v>
                </c:pt>
                <c:pt idx="2">
                  <c:v>1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Groundwater_quality1!$D$13:$I$13</c:f>
              <c:numCache>
                <c:formatCode>0.0</c:formatCode>
                <c:ptCount val="6"/>
                <c:pt idx="0" formatCode="0.00">
                  <c:v>1.32</c:v>
                </c:pt>
                <c:pt idx="1">
                  <c:v>1.34</c:v>
                </c:pt>
                <c:pt idx="2" formatCode="0.00">
                  <c:v>1.33</c:v>
                </c:pt>
              </c:numCache>
            </c:numRef>
          </c:yVal>
          <c:smooth val="1"/>
        </c:ser>
        <c:ser>
          <c:idx val="2"/>
          <c:order val="2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Groundwater_quality1!$D$14:$I$14</c:f>
              <c:numCache>
                <c:formatCode>0.0</c:formatCode>
                <c:ptCount val="6"/>
                <c:pt idx="0">
                  <c:v>1.4</c:v>
                </c:pt>
                <c:pt idx="1">
                  <c:v>1.44</c:v>
                </c:pt>
                <c:pt idx="2" formatCode="0.00">
                  <c:v>1.4</c:v>
                </c:pt>
              </c:numCache>
            </c:numRef>
          </c:yVal>
          <c:smooth val="1"/>
        </c:ser>
        <c:ser>
          <c:idx val="3"/>
          <c:order val="3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Groundwater_quality1!$D$15:$I$15</c:f>
              <c:numCache>
                <c:formatCode>0.00</c:formatCode>
                <c:ptCount val="6"/>
                <c:pt idx="0" formatCode="0.0">
                  <c:v>1.1499999999999999</c:v>
                </c:pt>
                <c:pt idx="1">
                  <c:v>1.45</c:v>
                </c:pt>
                <c:pt idx="2">
                  <c:v>0.99</c:v>
                </c:pt>
              </c:numCache>
            </c:numRef>
          </c:yVal>
          <c:smooth val="1"/>
        </c:ser>
        <c:ser>
          <c:idx val="4"/>
          <c:order val="4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Groundwater_quality1!$D$16:$I$16</c:f>
              <c:numCache>
                <c:formatCode>General</c:formatCode>
                <c:ptCount val="6"/>
                <c:pt idx="0">
                  <c:v>1.25</c:v>
                </c:pt>
                <c:pt idx="1">
                  <c:v>1.38</c:v>
                </c:pt>
                <c:pt idx="2" formatCode="0.00">
                  <c:v>1.31</c:v>
                </c:pt>
              </c:numCache>
            </c:numRef>
          </c:yVal>
          <c:smooth val="1"/>
        </c:ser>
        <c:ser>
          <c:idx val="5"/>
          <c:order val="5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Groundwater_quality1!$D$17:$I$17</c:f>
              <c:numCache>
                <c:formatCode>General</c:formatCode>
                <c:ptCount val="6"/>
                <c:pt idx="0" formatCode="0.0">
                  <c:v>1.4</c:v>
                </c:pt>
                <c:pt idx="1">
                  <c:v>1.46</c:v>
                </c:pt>
                <c:pt idx="2" formatCode="0.00">
                  <c:v>1.43</c:v>
                </c:pt>
              </c:numCache>
            </c:numRef>
          </c:yVal>
          <c:smooth val="1"/>
        </c:ser>
        <c:ser>
          <c:idx val="6"/>
          <c:order val="6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Groundwater_quality1!$D$18:$I$18</c:f>
              <c:numCache>
                <c:formatCode>General</c:formatCode>
                <c:ptCount val="6"/>
                <c:pt idx="0" formatCode="0.00">
                  <c:v>0.93</c:v>
                </c:pt>
                <c:pt idx="1">
                  <c:v>1.1599999999999999</c:v>
                </c:pt>
                <c:pt idx="2" formatCode="0.00">
                  <c:v>1.01</c:v>
                </c:pt>
              </c:numCache>
            </c:numRef>
          </c:yVal>
          <c:smooth val="1"/>
        </c:ser>
        <c:ser>
          <c:idx val="7"/>
          <c:order val="7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Groundwater_quality1!$D$19:$I$19</c:f>
              <c:numCache>
                <c:formatCode>0.00</c:formatCode>
                <c:ptCount val="6"/>
                <c:pt idx="0">
                  <c:v>1.21</c:v>
                </c:pt>
                <c:pt idx="1">
                  <c:v>1.25</c:v>
                </c:pt>
                <c:pt idx="2">
                  <c:v>1.33</c:v>
                </c:pt>
              </c:numCache>
            </c:numRef>
          </c:yVal>
          <c:smooth val="1"/>
        </c:ser>
        <c:ser>
          <c:idx val="8"/>
          <c:order val="8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Groundwater_quality1!$D$20:$I$20</c:f>
              <c:numCache>
                <c:formatCode>0.0</c:formatCode>
                <c:ptCount val="6"/>
                <c:pt idx="0" formatCode="0.00">
                  <c:v>1.21</c:v>
                </c:pt>
                <c:pt idx="1">
                  <c:v>1.27</c:v>
                </c:pt>
                <c:pt idx="2" formatCode="0.00">
                  <c:v>1.32</c:v>
                </c:pt>
              </c:numCache>
            </c:numRef>
          </c:yVal>
          <c:smooth val="1"/>
        </c:ser>
        <c:ser>
          <c:idx val="9"/>
          <c:order val="9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Groundwater_quality1!$D$21:$I$21</c:f>
              <c:numCache>
                <c:formatCode>General</c:formatCode>
                <c:ptCount val="6"/>
                <c:pt idx="0" formatCode="0.0">
                  <c:v>1.3</c:v>
                </c:pt>
                <c:pt idx="1">
                  <c:v>1.34</c:v>
                </c:pt>
                <c:pt idx="2" formatCode="0.00">
                  <c:v>1.28</c:v>
                </c:pt>
              </c:numCache>
            </c:numRef>
          </c:yVal>
          <c:smooth val="1"/>
        </c:ser>
        <c:ser>
          <c:idx val="10"/>
          <c:order val="10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Groundwater_quality1!$D$22:$I$22</c:f>
              <c:numCache>
                <c:formatCode>0.00</c:formatCode>
                <c:ptCount val="6"/>
                <c:pt idx="0" formatCode="0.0">
                  <c:v>1.39</c:v>
                </c:pt>
                <c:pt idx="1">
                  <c:v>1.33</c:v>
                </c:pt>
                <c:pt idx="2">
                  <c:v>1.33</c:v>
                </c:pt>
              </c:numCache>
            </c:numRef>
          </c:yVal>
          <c:smooth val="1"/>
        </c:ser>
        <c:ser>
          <c:idx val="11"/>
          <c:order val="11"/>
          <c:xVal>
            <c:numRef>
              <c:f>Groundwater_quality1!$D$10:$I$10</c:f>
              <c:numCache>
                <c:formatCode>mm/dd/yyyy</c:formatCode>
                <c:ptCount val="6"/>
                <c:pt idx="0">
                  <c:v>42328</c:v>
                </c:pt>
                <c:pt idx="1">
                  <c:v>42338</c:v>
                </c:pt>
                <c:pt idx="2">
                  <c:v>42348</c:v>
                </c:pt>
              </c:numCache>
            </c:numRef>
          </c:xVal>
          <c:yVal>
            <c:numRef>
              <c:f>Groundwater_quality1!$D$23:$I$23</c:f>
              <c:numCache>
                <c:formatCode>0.00</c:formatCode>
                <c:ptCount val="6"/>
                <c:pt idx="0" formatCode="0.0">
                  <c:v>1.22</c:v>
                </c:pt>
                <c:pt idx="1">
                  <c:v>1.23</c:v>
                </c:pt>
                <c:pt idx="2">
                  <c:v>1.28</c:v>
                </c:pt>
              </c:numCache>
            </c:numRef>
          </c:yVal>
          <c:smooth val="1"/>
        </c:ser>
        <c:axId val="116017792"/>
        <c:axId val="116036352"/>
      </c:scatterChart>
      <c:valAx>
        <c:axId val="11601779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Days</a:t>
                </a:r>
              </a:p>
            </c:rich>
          </c:tx>
          <c:layout/>
        </c:title>
        <c:numFmt formatCode="mm/dd/yy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036352"/>
        <c:crosses val="autoZero"/>
        <c:crossBetween val="midCat"/>
      </c:valAx>
      <c:valAx>
        <c:axId val="116036352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Groundwater level, m</a:t>
                </a:r>
              </a:p>
            </c:rich>
          </c:tx>
          <c:layout>
            <c:manualLayout>
              <c:xMode val="edge"/>
              <c:yMode val="edge"/>
              <c:x val="3.6442123878900196E-2"/>
              <c:y val="0.32270273908069208"/>
            </c:manualLayout>
          </c:layout>
        </c:title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601779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800100</xdr:colOff>
      <xdr:row>16</xdr:row>
      <xdr:rowOff>6350</xdr:rowOff>
    </xdr:from>
    <xdr:to>
      <xdr:col>14</xdr:col>
      <xdr:colOff>184150</xdr:colOff>
      <xdr:row>35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32</xdr:row>
      <xdr:rowOff>85725</xdr:rowOff>
    </xdr:from>
    <xdr:to>
      <xdr:col>14</xdr:col>
      <xdr:colOff>19050</xdr:colOff>
      <xdr:row>56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390524</xdr:colOff>
      <xdr:row>84</xdr:row>
      <xdr:rowOff>47625</xdr:rowOff>
    </xdr:from>
    <xdr:to>
      <xdr:col>14</xdr:col>
      <xdr:colOff>466724</xdr:colOff>
      <xdr:row>132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5</xdr:row>
      <xdr:rowOff>104774</xdr:rowOff>
    </xdr:from>
    <xdr:to>
      <xdr:col>25</xdr:col>
      <xdr:colOff>342899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219075</xdr:colOff>
      <xdr:row>7</xdr:row>
      <xdr:rowOff>66674</xdr:rowOff>
    </xdr:from>
    <xdr:to>
      <xdr:col>28</xdr:col>
      <xdr:colOff>380999</xdr:colOff>
      <xdr:row>34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18</xdr:row>
      <xdr:rowOff>133350</xdr:rowOff>
    </xdr:from>
    <xdr:to>
      <xdr:col>17</xdr:col>
      <xdr:colOff>228600</xdr:colOff>
      <xdr:row>39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17" sqref="B17"/>
    </sheetView>
  </sheetViews>
  <sheetFormatPr defaultRowHeight="12.75"/>
  <cols>
    <col min="2" max="2" width="35.28515625" customWidth="1"/>
  </cols>
  <sheetData>
    <row r="1" spans="1:5">
      <c r="A1" s="678" t="s">
        <v>908</v>
      </c>
      <c r="B1" s="678">
        <v>2015</v>
      </c>
      <c r="C1" s="569"/>
      <c r="D1" s="569"/>
      <c r="E1" s="569"/>
    </row>
    <row r="2" spans="1:5">
      <c r="A2" s="678"/>
      <c r="B2" s="678"/>
      <c r="C2" s="569"/>
      <c r="D2" s="569"/>
      <c r="E2" s="569"/>
    </row>
    <row r="3" spans="1:5">
      <c r="A3" s="678"/>
      <c r="B3" s="678"/>
      <c r="C3" s="569"/>
      <c r="D3" s="569"/>
      <c r="E3" s="569"/>
    </row>
    <row r="4" spans="1:5">
      <c r="A4" s="678" t="s">
        <v>909</v>
      </c>
      <c r="B4" s="678"/>
      <c r="C4" s="569"/>
      <c r="D4" s="569"/>
      <c r="E4" s="569"/>
    </row>
    <row r="5" spans="1:5">
      <c r="A5" s="678" t="s">
        <v>910</v>
      </c>
      <c r="B5" s="678"/>
      <c r="C5" s="569"/>
      <c r="D5" s="569"/>
      <c r="E5" s="569"/>
    </row>
    <row r="6" spans="1:5">
      <c r="A6" s="678" t="s">
        <v>911</v>
      </c>
      <c r="B6" s="678"/>
      <c r="C6" s="569"/>
      <c r="D6" s="569"/>
      <c r="E6" s="569"/>
    </row>
    <row r="7" spans="1:5">
      <c r="A7" s="678" t="s">
        <v>912</v>
      </c>
      <c r="B7" s="678"/>
      <c r="C7" s="569"/>
      <c r="D7" s="569"/>
      <c r="E7" s="569"/>
    </row>
    <row r="8" spans="1:5">
      <c r="A8" s="678" t="s">
        <v>913</v>
      </c>
      <c r="B8" s="678"/>
      <c r="C8" s="569"/>
      <c r="D8" s="569"/>
      <c r="E8" s="569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99"/>
  <sheetViews>
    <sheetView topLeftCell="A22" workbookViewId="0">
      <selection activeCell="K20" sqref="K20"/>
    </sheetView>
  </sheetViews>
  <sheetFormatPr defaultRowHeight="15"/>
  <cols>
    <col min="1" max="1" width="10.7109375" style="168" bestFit="1" customWidth="1"/>
    <col min="2" max="2" width="9.140625" style="171"/>
    <col min="3" max="3" width="11.85546875" style="171" customWidth="1"/>
    <col min="4" max="4" width="9.140625" style="168"/>
    <col min="5" max="5" width="14.28515625" style="171" customWidth="1"/>
    <col min="6" max="6" width="9.140625" style="168"/>
    <col min="7" max="7" width="9.140625" style="171"/>
    <col min="8" max="8" width="9.140625" style="168"/>
    <col min="9" max="9" width="13.42578125" style="168" customWidth="1"/>
    <col min="10" max="11" width="9.140625" style="168" customWidth="1"/>
    <col min="12" max="12" width="13.85546875" style="168" customWidth="1"/>
    <col min="13" max="13" width="16.140625" style="168" customWidth="1"/>
    <col min="14" max="16384" width="9.140625" style="168"/>
  </cols>
  <sheetData>
    <row r="1" spans="1:19" s="35" customFormat="1" ht="12.75">
      <c r="A1" s="163" t="s">
        <v>142</v>
      </c>
      <c r="E1" s="36" t="s">
        <v>143</v>
      </c>
      <c r="F1" s="37"/>
      <c r="G1" s="36"/>
      <c r="H1" s="36"/>
      <c r="I1" s="36"/>
      <c r="J1" s="36"/>
      <c r="K1" s="36"/>
      <c r="L1" s="36"/>
      <c r="M1" s="36"/>
      <c r="N1" s="36"/>
      <c r="O1" s="37"/>
      <c r="P1" s="37"/>
      <c r="Q1" s="37"/>
      <c r="R1" s="37"/>
    </row>
    <row r="2" spans="1:19" s="35" customFormat="1" ht="12.75"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35" customFormat="1" ht="12.75">
      <c r="F3" s="38"/>
      <c r="O3" s="38"/>
      <c r="P3" s="38"/>
      <c r="Q3" s="38"/>
      <c r="R3" s="38"/>
    </row>
    <row r="4" spans="1:19" s="35" customFormat="1" ht="12.75">
      <c r="A4" s="36" t="s">
        <v>144</v>
      </c>
      <c r="B4" s="39"/>
      <c r="C4" s="39"/>
      <c r="D4" s="39"/>
      <c r="E4" s="36" t="s">
        <v>145</v>
      </c>
      <c r="F4" s="37"/>
      <c r="H4" s="36" t="s">
        <v>147</v>
      </c>
      <c r="J4" s="39"/>
      <c r="N4" s="36"/>
      <c r="O4" s="38"/>
      <c r="P4" s="38"/>
      <c r="Q4" s="38"/>
      <c r="R4" s="38"/>
    </row>
    <row r="5" spans="1:19" s="43" customFormat="1" ht="12.75">
      <c r="A5" s="46"/>
      <c r="B5" s="47"/>
      <c r="C5" s="47"/>
      <c r="D5" s="46"/>
      <c r="E5" s="36" t="s">
        <v>146</v>
      </c>
      <c r="F5" s="48"/>
      <c r="G5" s="46"/>
      <c r="H5" s="46"/>
      <c r="I5" s="46"/>
      <c r="K5" s="46"/>
      <c r="M5" s="46"/>
      <c r="N5" s="47"/>
      <c r="O5" s="47"/>
    </row>
    <row r="6" spans="1:19">
      <c r="A6" s="179">
        <v>42257</v>
      </c>
      <c r="C6" s="188" t="s">
        <v>227</v>
      </c>
    </row>
    <row r="7" spans="1:19" ht="49.5" customHeight="1">
      <c r="A7" s="180" t="s">
        <v>228</v>
      </c>
      <c r="B7" s="180" t="s">
        <v>229</v>
      </c>
      <c r="C7" s="180" t="s">
        <v>230</v>
      </c>
      <c r="D7" s="180" t="s">
        <v>231</v>
      </c>
      <c r="E7" s="180" t="s">
        <v>232</v>
      </c>
      <c r="F7" s="180" t="s">
        <v>233</v>
      </c>
      <c r="G7" s="180" t="s">
        <v>234</v>
      </c>
      <c r="H7" s="180" t="s">
        <v>235</v>
      </c>
      <c r="I7" s="180" t="s">
        <v>236</v>
      </c>
      <c r="J7" s="180" t="s">
        <v>237</v>
      </c>
      <c r="K7" s="180" t="s">
        <v>238</v>
      </c>
      <c r="L7" s="180" t="s">
        <v>239</v>
      </c>
      <c r="M7" s="180" t="s">
        <v>239</v>
      </c>
    </row>
    <row r="8" spans="1:19" ht="49.5" customHeight="1">
      <c r="A8" s="180" t="s">
        <v>13</v>
      </c>
      <c r="B8" s="180" t="s">
        <v>242</v>
      </c>
      <c r="C8" s="180" t="s">
        <v>243</v>
      </c>
      <c r="D8" s="180" t="s">
        <v>244</v>
      </c>
      <c r="E8" s="189" t="s">
        <v>245</v>
      </c>
      <c r="F8" s="190" t="s">
        <v>246</v>
      </c>
      <c r="G8" s="190" t="s">
        <v>247</v>
      </c>
      <c r="H8" s="190" t="s">
        <v>248</v>
      </c>
      <c r="I8" s="190" t="s">
        <v>249</v>
      </c>
      <c r="J8" s="190" t="s">
        <v>250</v>
      </c>
      <c r="K8" s="190" t="s">
        <v>251</v>
      </c>
      <c r="L8" s="180" t="s">
        <v>252</v>
      </c>
      <c r="M8" s="180" t="s">
        <v>255</v>
      </c>
    </row>
    <row r="9" spans="1:19">
      <c r="A9" s="191">
        <v>42286</v>
      </c>
      <c r="B9" s="192">
        <v>1</v>
      </c>
      <c r="C9" s="192">
        <v>1</v>
      </c>
      <c r="D9" s="193"/>
      <c r="E9" s="194" t="s">
        <v>310</v>
      </c>
      <c r="F9" s="194" t="s">
        <v>355</v>
      </c>
      <c r="G9" s="192">
        <v>64.2</v>
      </c>
      <c r="H9" s="192">
        <v>62.5</v>
      </c>
      <c r="I9" s="192">
        <v>22.6</v>
      </c>
      <c r="J9" s="192">
        <f t="shared" ref="J9:K24" si="0">G9-H9</f>
        <v>1.7000000000000028</v>
      </c>
      <c r="K9" s="192">
        <f t="shared" si="0"/>
        <v>39.9</v>
      </c>
      <c r="L9" s="195">
        <f t="shared" ref="L9:L32" si="1">J9/K9</f>
        <v>4.2606516290726891E-2</v>
      </c>
      <c r="M9" s="224"/>
      <c r="N9" s="175">
        <f>L9/0.2</f>
        <v>0.21303258145363443</v>
      </c>
    </row>
    <row r="10" spans="1:19">
      <c r="A10" s="196"/>
      <c r="B10" s="197"/>
      <c r="C10" s="197"/>
      <c r="D10" s="198"/>
      <c r="E10" s="199" t="s">
        <v>333</v>
      </c>
      <c r="F10" s="199" t="s">
        <v>356</v>
      </c>
      <c r="G10" s="197">
        <v>81.099999999999994</v>
      </c>
      <c r="H10" s="197">
        <v>75.900000000000006</v>
      </c>
      <c r="I10" s="197">
        <v>21.7</v>
      </c>
      <c r="J10" s="197">
        <f t="shared" si="0"/>
        <v>5.1999999999999886</v>
      </c>
      <c r="K10" s="197">
        <f t="shared" si="0"/>
        <v>54.2</v>
      </c>
      <c r="L10" s="200">
        <f t="shared" si="1"/>
        <v>9.5940959409593879E-2</v>
      </c>
      <c r="M10" s="225"/>
      <c r="N10" s="175">
        <f t="shared" ref="N10:N12" si="2">L10/0.2</f>
        <v>0.47970479704796937</v>
      </c>
    </row>
    <row r="11" spans="1:19">
      <c r="A11" s="196"/>
      <c r="B11" s="197"/>
      <c r="C11" s="197"/>
      <c r="D11" s="198"/>
      <c r="E11" s="199" t="s">
        <v>298</v>
      </c>
      <c r="F11" s="226" t="s">
        <v>357</v>
      </c>
      <c r="G11" s="227">
        <v>65</v>
      </c>
      <c r="H11" s="227">
        <v>62</v>
      </c>
      <c r="I11" s="227">
        <v>23.6</v>
      </c>
      <c r="J11" s="227">
        <f t="shared" si="0"/>
        <v>3</v>
      </c>
      <c r="K11" s="227">
        <f t="shared" si="0"/>
        <v>38.4</v>
      </c>
      <c r="L11" s="228">
        <f t="shared" si="1"/>
        <v>7.8125E-2</v>
      </c>
      <c r="M11" s="229"/>
      <c r="N11" s="230">
        <f t="shared" si="2"/>
        <v>0.390625</v>
      </c>
      <c r="O11" s="231"/>
    </row>
    <row r="12" spans="1:19">
      <c r="A12" s="196"/>
      <c r="B12" s="197"/>
      <c r="C12" s="197" t="s">
        <v>358</v>
      </c>
      <c r="D12" s="198"/>
      <c r="E12" s="226" t="s">
        <v>339</v>
      </c>
      <c r="F12" s="226" t="s">
        <v>359</v>
      </c>
      <c r="G12" s="227">
        <v>78</v>
      </c>
      <c r="H12" s="232">
        <v>73.400000000000006</v>
      </c>
      <c r="I12" s="232">
        <v>21.2</v>
      </c>
      <c r="J12" s="232">
        <f t="shared" si="0"/>
        <v>4.5999999999999943</v>
      </c>
      <c r="K12" s="232">
        <f t="shared" si="0"/>
        <v>52.2</v>
      </c>
      <c r="L12" s="233">
        <f t="shared" si="1"/>
        <v>8.8122605363984557E-2</v>
      </c>
      <c r="M12" s="229"/>
      <c r="N12" s="230">
        <f t="shared" si="2"/>
        <v>0.44061302681992276</v>
      </c>
      <c r="O12" s="231"/>
    </row>
    <row r="13" spans="1:19">
      <c r="A13" s="191">
        <v>42286</v>
      </c>
      <c r="B13" s="192">
        <v>1</v>
      </c>
      <c r="C13" s="192">
        <v>2</v>
      </c>
      <c r="D13" s="193"/>
      <c r="E13" s="194" t="s">
        <v>280</v>
      </c>
      <c r="F13" s="234" t="s">
        <v>59</v>
      </c>
      <c r="G13" s="235">
        <v>76.099999999999994</v>
      </c>
      <c r="H13" s="235">
        <v>70.2</v>
      </c>
      <c r="I13" s="235">
        <v>25.4</v>
      </c>
      <c r="J13" s="235">
        <f t="shared" si="0"/>
        <v>5.8999999999999915</v>
      </c>
      <c r="K13" s="235">
        <f t="shared" si="0"/>
        <v>44.800000000000004</v>
      </c>
      <c r="L13" s="236">
        <f t="shared" si="1"/>
        <v>0.13169642857142838</v>
      </c>
      <c r="M13" s="237"/>
      <c r="N13" s="230">
        <f>L13/0.2</f>
        <v>0.65848214285714191</v>
      </c>
      <c r="O13" s="231"/>
    </row>
    <row r="14" spans="1:19">
      <c r="A14" s="196"/>
      <c r="B14" s="197"/>
      <c r="C14" s="197"/>
      <c r="D14" s="198"/>
      <c r="E14" s="199" t="s">
        <v>307</v>
      </c>
      <c r="F14" s="226" t="s">
        <v>262</v>
      </c>
      <c r="G14" s="227">
        <v>82.1</v>
      </c>
      <c r="H14" s="227">
        <v>72.599999999999994</v>
      </c>
      <c r="I14" s="227">
        <v>22.4</v>
      </c>
      <c r="J14" s="227">
        <f t="shared" si="0"/>
        <v>9.5</v>
      </c>
      <c r="K14" s="227">
        <f t="shared" si="0"/>
        <v>50.199999999999996</v>
      </c>
      <c r="L14" s="228">
        <f t="shared" si="1"/>
        <v>0.18924302788844624</v>
      </c>
      <c r="M14" s="229"/>
      <c r="N14" s="230">
        <f t="shared" ref="N14:N16" si="3">L14/0.2</f>
        <v>0.94621513944223112</v>
      </c>
      <c r="O14" s="231"/>
    </row>
    <row r="15" spans="1:19">
      <c r="A15" s="196"/>
      <c r="B15" s="197"/>
      <c r="C15" s="197"/>
      <c r="D15" s="198"/>
      <c r="E15" s="199" t="s">
        <v>336</v>
      </c>
      <c r="F15" s="226" t="s">
        <v>60</v>
      </c>
      <c r="G15" s="227">
        <v>70.3</v>
      </c>
      <c r="H15" s="227">
        <v>62.2</v>
      </c>
      <c r="I15" s="227">
        <v>22.6</v>
      </c>
      <c r="J15" s="227">
        <f t="shared" si="0"/>
        <v>8.0999999999999943</v>
      </c>
      <c r="K15" s="227">
        <f t="shared" si="0"/>
        <v>39.6</v>
      </c>
      <c r="L15" s="228">
        <f t="shared" si="1"/>
        <v>0.20454545454545439</v>
      </c>
      <c r="M15" s="229"/>
      <c r="N15" s="230">
        <f t="shared" si="3"/>
        <v>1.0227272727272718</v>
      </c>
      <c r="O15" s="231"/>
    </row>
    <row r="16" spans="1:19">
      <c r="A16" s="196"/>
      <c r="B16" s="197"/>
      <c r="C16" s="197" t="s">
        <v>358</v>
      </c>
      <c r="D16" s="198"/>
      <c r="E16" s="199" t="s">
        <v>337</v>
      </c>
      <c r="F16" s="226" t="s">
        <v>61</v>
      </c>
      <c r="G16" s="227">
        <v>78.900000000000006</v>
      </c>
      <c r="H16" s="227">
        <v>75.099999999999994</v>
      </c>
      <c r="I16" s="227">
        <v>25.3</v>
      </c>
      <c r="J16" s="227">
        <f t="shared" si="0"/>
        <v>3.8000000000000114</v>
      </c>
      <c r="K16" s="227">
        <f t="shared" si="0"/>
        <v>49.8</v>
      </c>
      <c r="L16" s="228">
        <f t="shared" si="1"/>
        <v>7.6305220883534364E-2</v>
      </c>
      <c r="M16" s="229"/>
      <c r="N16" s="230">
        <f t="shared" si="3"/>
        <v>0.38152610441767182</v>
      </c>
      <c r="O16" s="231"/>
    </row>
    <row r="17" spans="1:15">
      <c r="A17" s="191">
        <v>42286</v>
      </c>
      <c r="B17" s="192">
        <v>1</v>
      </c>
      <c r="C17" s="192">
        <v>3</v>
      </c>
      <c r="D17" s="193"/>
      <c r="E17" s="194" t="s">
        <v>322</v>
      </c>
      <c r="F17" s="234" t="s">
        <v>59</v>
      </c>
      <c r="G17" s="235">
        <v>79.8</v>
      </c>
      <c r="H17" s="235">
        <v>72.2</v>
      </c>
      <c r="I17" s="235">
        <v>23.1</v>
      </c>
      <c r="J17" s="235">
        <f>G17-H17</f>
        <v>7.5999999999999943</v>
      </c>
      <c r="K17" s="235">
        <f t="shared" si="0"/>
        <v>49.1</v>
      </c>
      <c r="L17" s="236">
        <f t="shared" si="1"/>
        <v>0.15478615071283083</v>
      </c>
      <c r="M17" s="237"/>
      <c r="N17" s="230">
        <f>L17/0.2</f>
        <v>0.77393075356415408</v>
      </c>
      <c r="O17" s="231"/>
    </row>
    <row r="18" spans="1:15">
      <c r="A18" s="196"/>
      <c r="B18" s="197"/>
      <c r="C18" s="197"/>
      <c r="D18" s="198"/>
      <c r="E18" s="199" t="s">
        <v>327</v>
      </c>
      <c r="F18" s="226" t="s">
        <v>262</v>
      </c>
      <c r="G18" s="227">
        <v>70.3</v>
      </c>
      <c r="H18" s="227">
        <v>65.3</v>
      </c>
      <c r="I18" s="227">
        <v>24.3</v>
      </c>
      <c r="J18" s="227">
        <f t="shared" ref="J18:K32" si="4">G18-H18</f>
        <v>5</v>
      </c>
      <c r="K18" s="227">
        <f t="shared" si="0"/>
        <v>41</v>
      </c>
      <c r="L18" s="228">
        <f t="shared" si="1"/>
        <v>0.12195121951219512</v>
      </c>
      <c r="M18" s="229"/>
      <c r="N18" s="230">
        <f t="shared" ref="N18:N20" si="5">L18/0.2</f>
        <v>0.6097560975609756</v>
      </c>
      <c r="O18" s="231"/>
    </row>
    <row r="19" spans="1:15">
      <c r="A19" s="196"/>
      <c r="B19" s="197"/>
      <c r="C19" s="197"/>
      <c r="D19" s="198"/>
      <c r="E19" s="199" t="s">
        <v>291</v>
      </c>
      <c r="F19" s="226" t="s">
        <v>60</v>
      </c>
      <c r="G19" s="227">
        <v>80.8</v>
      </c>
      <c r="H19" s="227">
        <v>69.3</v>
      </c>
      <c r="I19" s="227">
        <v>17.8</v>
      </c>
      <c r="J19" s="227">
        <f t="shared" si="4"/>
        <v>11.5</v>
      </c>
      <c r="K19" s="227">
        <f t="shared" si="0"/>
        <v>51.5</v>
      </c>
      <c r="L19" s="228">
        <f t="shared" si="1"/>
        <v>0.22330097087378642</v>
      </c>
      <c r="M19" s="229"/>
      <c r="N19" s="230">
        <f t="shared" si="5"/>
        <v>1.116504854368932</v>
      </c>
      <c r="O19" s="231"/>
    </row>
    <row r="20" spans="1:15">
      <c r="A20" s="196"/>
      <c r="B20" s="197"/>
      <c r="C20" s="197" t="s">
        <v>358</v>
      </c>
      <c r="D20" s="198"/>
      <c r="E20" s="199" t="s">
        <v>276</v>
      </c>
      <c r="F20" s="226" t="s">
        <v>61</v>
      </c>
      <c r="G20" s="227">
        <v>75.3</v>
      </c>
      <c r="H20" s="227">
        <v>69.7</v>
      </c>
      <c r="I20" s="227">
        <v>22.5</v>
      </c>
      <c r="J20" s="227">
        <f t="shared" si="4"/>
        <v>5.5999999999999943</v>
      </c>
      <c r="K20" s="227">
        <f t="shared" si="0"/>
        <v>47.2</v>
      </c>
      <c r="L20" s="228">
        <f t="shared" si="1"/>
        <v>0.11864406779661005</v>
      </c>
      <c r="M20" s="229"/>
      <c r="N20" s="230">
        <f t="shared" si="5"/>
        <v>0.59322033898305015</v>
      </c>
      <c r="O20" s="231"/>
    </row>
    <row r="21" spans="1:15">
      <c r="A21" s="191">
        <v>42286</v>
      </c>
      <c r="B21" s="192">
        <v>2</v>
      </c>
      <c r="C21" s="192">
        <v>1</v>
      </c>
      <c r="D21" s="193"/>
      <c r="E21" s="194" t="s">
        <v>312</v>
      </c>
      <c r="F21" s="194" t="s">
        <v>355</v>
      </c>
      <c r="G21" s="192">
        <v>84.1</v>
      </c>
      <c r="H21" s="192">
        <v>76.099999999999994</v>
      </c>
      <c r="I21" s="192">
        <v>24.6</v>
      </c>
      <c r="J21" s="192">
        <f t="shared" si="4"/>
        <v>8</v>
      </c>
      <c r="K21" s="192">
        <f t="shared" si="0"/>
        <v>51.499999999999993</v>
      </c>
      <c r="L21" s="195">
        <f t="shared" si="1"/>
        <v>0.15533980582524273</v>
      </c>
      <c r="M21" s="224"/>
      <c r="N21" s="175">
        <f>L21/0.2</f>
        <v>0.77669902912621358</v>
      </c>
    </row>
    <row r="22" spans="1:15">
      <c r="A22" s="196"/>
      <c r="B22" s="197"/>
      <c r="C22" s="197"/>
      <c r="D22" s="198"/>
      <c r="E22" s="199" t="s">
        <v>332</v>
      </c>
      <c r="F22" s="199" t="s">
        <v>356</v>
      </c>
      <c r="G22" s="197">
        <v>81</v>
      </c>
      <c r="H22" s="197">
        <v>71.2</v>
      </c>
      <c r="I22" s="197">
        <v>22.5</v>
      </c>
      <c r="J22" s="197">
        <f t="shared" si="4"/>
        <v>9.7999999999999972</v>
      </c>
      <c r="K22" s="197">
        <f t="shared" si="0"/>
        <v>48.7</v>
      </c>
      <c r="L22" s="200">
        <f t="shared" si="1"/>
        <v>0.20123203285420938</v>
      </c>
      <c r="M22" s="225"/>
      <c r="N22" s="175">
        <f t="shared" ref="N22:N24" si="6">L22/0.2</f>
        <v>1.0061601642710467</v>
      </c>
    </row>
    <row r="23" spans="1:15">
      <c r="A23" s="196"/>
      <c r="B23" s="197"/>
      <c r="C23" s="197"/>
      <c r="D23" s="198"/>
      <c r="E23" s="199" t="s">
        <v>341</v>
      </c>
      <c r="F23" s="226" t="s">
        <v>357</v>
      </c>
      <c r="G23" s="227">
        <v>85.8</v>
      </c>
      <c r="H23" s="227">
        <v>74.400000000000006</v>
      </c>
      <c r="I23" s="227">
        <v>24.6</v>
      </c>
      <c r="J23" s="227">
        <f t="shared" si="4"/>
        <v>11.399999999999991</v>
      </c>
      <c r="K23" s="227">
        <f t="shared" si="0"/>
        <v>49.800000000000004</v>
      </c>
      <c r="L23" s="228">
        <f t="shared" si="1"/>
        <v>0.22891566265060223</v>
      </c>
      <c r="M23" s="229"/>
      <c r="N23" s="230">
        <f t="shared" si="6"/>
        <v>1.1445783132530112</v>
      </c>
      <c r="O23" s="231"/>
    </row>
    <row r="24" spans="1:15">
      <c r="A24" s="196"/>
      <c r="B24" s="197"/>
      <c r="C24" s="197" t="s">
        <v>360</v>
      </c>
      <c r="D24" s="198"/>
      <c r="E24" s="226" t="s">
        <v>361</v>
      </c>
      <c r="F24" s="226" t="s">
        <v>359</v>
      </c>
      <c r="G24" s="227">
        <v>79</v>
      </c>
      <c r="H24" s="232">
        <v>66.3</v>
      </c>
      <c r="I24" s="232">
        <v>22.1</v>
      </c>
      <c r="J24" s="232">
        <f t="shared" si="4"/>
        <v>12.700000000000003</v>
      </c>
      <c r="K24" s="232">
        <f t="shared" si="0"/>
        <v>44.199999999999996</v>
      </c>
      <c r="L24" s="233">
        <f t="shared" si="1"/>
        <v>0.28733031674208154</v>
      </c>
      <c r="M24" s="229"/>
      <c r="N24" s="230">
        <f t="shared" si="6"/>
        <v>1.4366515837104077</v>
      </c>
      <c r="O24" s="231"/>
    </row>
    <row r="25" spans="1:15">
      <c r="A25" s="191">
        <v>42286</v>
      </c>
      <c r="B25" s="192">
        <v>2</v>
      </c>
      <c r="C25" s="192">
        <v>2</v>
      </c>
      <c r="D25" s="193"/>
      <c r="E25" s="194" t="s">
        <v>362</v>
      </c>
      <c r="F25" s="234" t="s">
        <v>59</v>
      </c>
      <c r="G25" s="235">
        <v>66</v>
      </c>
      <c r="H25" s="235">
        <v>61.6</v>
      </c>
      <c r="I25" s="235">
        <v>22</v>
      </c>
      <c r="J25" s="235">
        <f t="shared" si="4"/>
        <v>4.3999999999999986</v>
      </c>
      <c r="K25" s="235">
        <f t="shared" si="4"/>
        <v>39.6</v>
      </c>
      <c r="L25" s="236">
        <f t="shared" si="1"/>
        <v>0.11111111111111108</v>
      </c>
      <c r="M25" s="237"/>
      <c r="N25" s="230">
        <f>L25/0.2</f>
        <v>0.55555555555555536</v>
      </c>
      <c r="O25" s="231"/>
    </row>
    <row r="26" spans="1:15">
      <c r="A26" s="196"/>
      <c r="B26" s="197"/>
      <c r="C26" s="197"/>
      <c r="D26" s="198"/>
      <c r="E26" s="199" t="s">
        <v>363</v>
      </c>
      <c r="F26" s="226" t="s">
        <v>262</v>
      </c>
      <c r="G26" s="227">
        <v>86.7</v>
      </c>
      <c r="H26" s="227">
        <v>76.400000000000006</v>
      </c>
      <c r="I26" s="227">
        <v>25.8</v>
      </c>
      <c r="J26" s="227">
        <f t="shared" si="4"/>
        <v>10.299999999999997</v>
      </c>
      <c r="K26" s="227">
        <f t="shared" si="4"/>
        <v>50.600000000000009</v>
      </c>
      <c r="L26" s="228">
        <f t="shared" si="1"/>
        <v>0.20355731225296433</v>
      </c>
      <c r="M26" s="229"/>
      <c r="N26" s="230">
        <f t="shared" ref="N26:N28" si="7">L26/0.2</f>
        <v>1.0177865612648216</v>
      </c>
      <c r="O26" s="231"/>
    </row>
    <row r="27" spans="1:15">
      <c r="A27" s="196"/>
      <c r="B27" s="197"/>
      <c r="C27" s="197"/>
      <c r="D27" s="198"/>
      <c r="E27" s="199" t="s">
        <v>364</v>
      </c>
      <c r="F27" s="226" t="s">
        <v>60</v>
      </c>
      <c r="G27" s="227">
        <v>101.2</v>
      </c>
      <c r="H27" s="227">
        <v>88.1</v>
      </c>
      <c r="I27" s="227">
        <v>36.9</v>
      </c>
      <c r="J27" s="227">
        <f t="shared" si="4"/>
        <v>13.100000000000009</v>
      </c>
      <c r="K27" s="227">
        <f t="shared" si="4"/>
        <v>51.199999999999996</v>
      </c>
      <c r="L27" s="228">
        <f t="shared" si="1"/>
        <v>0.25585937500000017</v>
      </c>
      <c r="M27" s="229"/>
      <c r="N27" s="230">
        <f t="shared" si="7"/>
        <v>1.2792968750000007</v>
      </c>
      <c r="O27" s="231"/>
    </row>
    <row r="28" spans="1:15">
      <c r="A28" s="196"/>
      <c r="B28" s="197"/>
      <c r="C28" s="197" t="s">
        <v>360</v>
      </c>
      <c r="D28" s="198"/>
      <c r="E28" s="199" t="s">
        <v>365</v>
      </c>
      <c r="F28" s="226" t="s">
        <v>61</v>
      </c>
      <c r="G28" s="227">
        <v>77</v>
      </c>
      <c r="H28" s="227">
        <v>65</v>
      </c>
      <c r="I28" s="227">
        <v>22.5</v>
      </c>
      <c r="J28" s="227">
        <f t="shared" si="4"/>
        <v>12</v>
      </c>
      <c r="K28" s="227">
        <f t="shared" si="4"/>
        <v>42.5</v>
      </c>
      <c r="L28" s="228">
        <f t="shared" si="1"/>
        <v>0.28235294117647058</v>
      </c>
      <c r="M28" s="229"/>
      <c r="N28" s="230">
        <f t="shared" si="7"/>
        <v>1.4117647058823528</v>
      </c>
      <c r="O28" s="231"/>
    </row>
    <row r="29" spans="1:15">
      <c r="A29" s="191">
        <v>42286</v>
      </c>
      <c r="B29" s="192">
        <v>2</v>
      </c>
      <c r="C29" s="192">
        <v>3</v>
      </c>
      <c r="D29" s="193"/>
      <c r="E29" s="194" t="s">
        <v>366</v>
      </c>
      <c r="F29" s="234" t="s">
        <v>59</v>
      </c>
      <c r="G29" s="235">
        <v>78.7</v>
      </c>
      <c r="H29" s="235">
        <v>76.5</v>
      </c>
      <c r="I29" s="235">
        <v>30.2</v>
      </c>
      <c r="J29" s="235">
        <f>G29-H29</f>
        <v>2.2000000000000028</v>
      </c>
      <c r="K29" s="235">
        <f t="shared" si="4"/>
        <v>46.3</v>
      </c>
      <c r="L29" s="236">
        <f t="shared" si="1"/>
        <v>4.7516198704103736E-2</v>
      </c>
      <c r="M29" s="237"/>
      <c r="N29" s="230">
        <f>L29/0.2</f>
        <v>0.23758099352051867</v>
      </c>
      <c r="O29" s="231"/>
    </row>
    <row r="30" spans="1:15">
      <c r="A30" s="196"/>
      <c r="B30" s="197"/>
      <c r="C30" s="197"/>
      <c r="D30" s="198"/>
      <c r="E30" s="199" t="s">
        <v>367</v>
      </c>
      <c r="F30" s="226" t="s">
        <v>262</v>
      </c>
      <c r="G30" s="227">
        <v>68.099999999999994</v>
      </c>
      <c r="H30" s="227">
        <v>62</v>
      </c>
      <c r="I30" s="227">
        <v>23.4</v>
      </c>
      <c r="J30" s="227">
        <f t="shared" ref="J30:J32" si="8">G30-H30</f>
        <v>6.0999999999999943</v>
      </c>
      <c r="K30" s="227">
        <f t="shared" si="4"/>
        <v>38.6</v>
      </c>
      <c r="L30" s="228">
        <f t="shared" si="1"/>
        <v>0.15803108808290139</v>
      </c>
      <c r="M30" s="229"/>
      <c r="N30" s="230">
        <f t="shared" ref="N30:N32" si="9">L30/0.2</f>
        <v>0.79015544041450692</v>
      </c>
      <c r="O30" s="231"/>
    </row>
    <row r="31" spans="1:15">
      <c r="A31" s="196"/>
      <c r="B31" s="197"/>
      <c r="C31" s="197"/>
      <c r="D31" s="198"/>
      <c r="E31" s="199" t="s">
        <v>368</v>
      </c>
      <c r="F31" s="226" t="s">
        <v>60</v>
      </c>
      <c r="G31" s="227">
        <v>82.1</v>
      </c>
      <c r="H31" s="227">
        <v>72</v>
      </c>
      <c r="I31" s="227">
        <v>29.5</v>
      </c>
      <c r="J31" s="227">
        <f t="shared" si="8"/>
        <v>10.099999999999994</v>
      </c>
      <c r="K31" s="227">
        <f t="shared" si="4"/>
        <v>42.5</v>
      </c>
      <c r="L31" s="228">
        <f t="shared" si="1"/>
        <v>0.23764705882352927</v>
      </c>
      <c r="M31" s="229"/>
      <c r="N31" s="230">
        <f t="shared" si="9"/>
        <v>1.1882352941176462</v>
      </c>
      <c r="O31" s="231"/>
    </row>
    <row r="32" spans="1:15">
      <c r="A32" s="196"/>
      <c r="B32" s="197"/>
      <c r="C32" s="197" t="s">
        <v>360</v>
      </c>
      <c r="D32" s="198"/>
      <c r="E32" s="199" t="s">
        <v>369</v>
      </c>
      <c r="F32" s="226" t="s">
        <v>61</v>
      </c>
      <c r="G32" s="227">
        <v>98.7</v>
      </c>
      <c r="H32" s="227">
        <v>83.9</v>
      </c>
      <c r="I32" s="227">
        <v>22.9</v>
      </c>
      <c r="J32" s="227">
        <f t="shared" si="8"/>
        <v>14.799999999999997</v>
      </c>
      <c r="K32" s="227">
        <f t="shared" si="4"/>
        <v>61.000000000000007</v>
      </c>
      <c r="L32" s="228">
        <f t="shared" si="1"/>
        <v>0.24262295081967206</v>
      </c>
      <c r="M32" s="229"/>
      <c r="N32" s="230">
        <f t="shared" si="9"/>
        <v>1.2131147540983602</v>
      </c>
      <c r="O32" s="231"/>
    </row>
    <row r="34" spans="1:15" customFormat="1" ht="12.75">
      <c r="A34" s="208">
        <v>42267</v>
      </c>
      <c r="B34" s="161"/>
      <c r="C34" s="209" t="s">
        <v>370</v>
      </c>
      <c r="E34" s="161"/>
      <c r="G34" s="161"/>
    </row>
    <row r="35" spans="1:15" customFormat="1" ht="49.5" customHeight="1">
      <c r="A35" s="160" t="s">
        <v>228</v>
      </c>
      <c r="B35" s="160" t="s">
        <v>229</v>
      </c>
      <c r="C35" s="160" t="s">
        <v>230</v>
      </c>
      <c r="D35" s="160" t="s">
        <v>231</v>
      </c>
      <c r="E35" s="160" t="s">
        <v>232</v>
      </c>
      <c r="F35" s="160" t="s">
        <v>233</v>
      </c>
      <c r="G35" s="160" t="s">
        <v>234</v>
      </c>
      <c r="H35" s="160" t="s">
        <v>235</v>
      </c>
      <c r="I35" s="160" t="s">
        <v>236</v>
      </c>
      <c r="J35" s="160" t="s">
        <v>237</v>
      </c>
      <c r="K35" s="160" t="s">
        <v>238</v>
      </c>
      <c r="L35" s="160" t="s">
        <v>239</v>
      </c>
      <c r="M35" s="160" t="s">
        <v>239</v>
      </c>
    </row>
    <row r="36" spans="1:15" customFormat="1" ht="49.5" customHeight="1">
      <c r="A36" s="160" t="s">
        <v>13</v>
      </c>
      <c r="B36" s="160" t="s">
        <v>242</v>
      </c>
      <c r="C36" s="160" t="s">
        <v>243</v>
      </c>
      <c r="D36" s="160" t="s">
        <v>244</v>
      </c>
      <c r="E36" s="210" t="s">
        <v>245</v>
      </c>
      <c r="F36" s="211" t="s">
        <v>246</v>
      </c>
      <c r="G36" s="211" t="s">
        <v>247</v>
      </c>
      <c r="H36" s="211" t="s">
        <v>248</v>
      </c>
      <c r="I36" s="211" t="s">
        <v>249</v>
      </c>
      <c r="J36" s="211" t="s">
        <v>250</v>
      </c>
      <c r="K36" s="211" t="s">
        <v>251</v>
      </c>
      <c r="L36" s="160" t="s">
        <v>252</v>
      </c>
      <c r="M36" s="160" t="s">
        <v>255</v>
      </c>
    </row>
    <row r="37" spans="1:15" customFormat="1" ht="12.75">
      <c r="A37" s="212" t="s">
        <v>72</v>
      </c>
      <c r="B37" s="213">
        <v>1</v>
      </c>
      <c r="C37" s="213">
        <v>1</v>
      </c>
      <c r="D37" s="214"/>
      <c r="E37" s="215" t="s">
        <v>371</v>
      </c>
      <c r="F37" s="215" t="s">
        <v>59</v>
      </c>
      <c r="G37" s="213">
        <v>62</v>
      </c>
      <c r="H37" s="213">
        <v>58.9</v>
      </c>
      <c r="I37" s="213">
        <v>21.4</v>
      </c>
      <c r="J37" s="213">
        <f t="shared" ref="J37:K52" si="10">G37-H37</f>
        <v>3.1000000000000014</v>
      </c>
      <c r="K37" s="213">
        <f t="shared" si="10"/>
        <v>37.5</v>
      </c>
      <c r="L37" s="216">
        <f t="shared" ref="L37:L96" si="11">J37/K37</f>
        <v>8.2666666666666708E-2</v>
      </c>
      <c r="M37" s="238"/>
      <c r="N37" s="25">
        <f>L37/0.2</f>
        <v>0.4133333333333335</v>
      </c>
    </row>
    <row r="38" spans="1:15" customFormat="1" ht="12.75">
      <c r="A38" s="219"/>
      <c r="B38" s="220"/>
      <c r="C38" s="220"/>
      <c r="D38" s="1"/>
      <c r="E38" s="2" t="s">
        <v>275</v>
      </c>
      <c r="F38" s="2" t="s">
        <v>262</v>
      </c>
      <c r="G38" s="220">
        <v>72.2</v>
      </c>
      <c r="H38" s="220">
        <v>67.5</v>
      </c>
      <c r="I38" s="220">
        <v>30.1</v>
      </c>
      <c r="J38" s="220">
        <f t="shared" si="10"/>
        <v>4.7000000000000028</v>
      </c>
      <c r="K38" s="220">
        <f t="shared" si="10"/>
        <v>37.4</v>
      </c>
      <c r="L38" s="221">
        <f t="shared" si="11"/>
        <v>0.12566844919786105</v>
      </c>
      <c r="M38" s="239"/>
      <c r="N38" s="25">
        <f t="shared" ref="N38:N46" si="12">L38/0.2</f>
        <v>0.62834224598930521</v>
      </c>
    </row>
    <row r="39" spans="1:15" customFormat="1" ht="12.75">
      <c r="A39" s="219"/>
      <c r="B39" s="220"/>
      <c r="C39" s="220"/>
      <c r="D39" s="1"/>
      <c r="E39" s="2" t="s">
        <v>272</v>
      </c>
      <c r="F39" s="240" t="s">
        <v>60</v>
      </c>
      <c r="G39" s="223">
        <v>83.9</v>
      </c>
      <c r="H39" s="223">
        <v>77.7</v>
      </c>
      <c r="I39" s="223">
        <v>22.4</v>
      </c>
      <c r="J39" s="223">
        <f t="shared" si="10"/>
        <v>6.2000000000000028</v>
      </c>
      <c r="K39" s="223">
        <f t="shared" si="10"/>
        <v>55.300000000000004</v>
      </c>
      <c r="L39" s="241">
        <f t="shared" si="11"/>
        <v>0.11211573236889696</v>
      </c>
      <c r="M39" s="242"/>
      <c r="N39" s="243">
        <f t="shared" si="12"/>
        <v>0.56057866184448479</v>
      </c>
      <c r="O39" s="244"/>
    </row>
    <row r="40" spans="1:15" customFormat="1">
      <c r="A40" s="219"/>
      <c r="B40" s="220"/>
      <c r="C40" s="220" t="s">
        <v>358</v>
      </c>
      <c r="D40" s="1"/>
      <c r="E40" s="240" t="s">
        <v>372</v>
      </c>
      <c r="F40" s="240" t="s">
        <v>61</v>
      </c>
      <c r="G40" s="223">
        <v>94.5</v>
      </c>
      <c r="H40" s="245">
        <v>87.4</v>
      </c>
      <c r="I40" s="245">
        <v>22.7</v>
      </c>
      <c r="J40" s="245">
        <f t="shared" si="10"/>
        <v>7.0999999999999943</v>
      </c>
      <c r="K40" s="245">
        <f t="shared" si="10"/>
        <v>64.7</v>
      </c>
      <c r="L40" s="246">
        <f t="shared" si="11"/>
        <v>0.10973724884080362</v>
      </c>
      <c r="M40" s="242"/>
      <c r="N40" s="243">
        <f t="shared" si="12"/>
        <v>0.54868624420401801</v>
      </c>
      <c r="O40" s="244"/>
    </row>
    <row r="41" spans="1:15" customFormat="1" ht="12.75">
      <c r="A41" s="219"/>
      <c r="B41" s="220"/>
      <c r="C41" s="220"/>
      <c r="D41" s="1"/>
      <c r="E41" s="2" t="s">
        <v>266</v>
      </c>
      <c r="F41" s="223" t="s">
        <v>62</v>
      </c>
      <c r="G41" s="223">
        <v>83.1</v>
      </c>
      <c r="H41" s="223">
        <v>78.900000000000006</v>
      </c>
      <c r="I41" s="223">
        <v>25.8</v>
      </c>
      <c r="J41" s="223">
        <f t="shared" si="10"/>
        <v>4.1999999999999886</v>
      </c>
      <c r="K41" s="223">
        <f t="shared" si="10"/>
        <v>53.100000000000009</v>
      </c>
      <c r="L41" s="241">
        <f t="shared" si="11"/>
        <v>7.9096045197739884E-2</v>
      </c>
      <c r="M41" s="242"/>
      <c r="N41" s="243">
        <f>L41/0.2</f>
        <v>0.39548022598869942</v>
      </c>
      <c r="O41" s="244"/>
    </row>
    <row r="42" spans="1:15" customFormat="1" ht="12.75">
      <c r="A42" s="219"/>
      <c r="B42" s="220"/>
      <c r="C42" s="220"/>
      <c r="D42" s="1"/>
      <c r="E42" s="2" t="s">
        <v>373</v>
      </c>
      <c r="F42" s="223" t="s">
        <v>63</v>
      </c>
      <c r="G42" s="223">
        <v>91.7</v>
      </c>
      <c r="H42" s="223">
        <v>82</v>
      </c>
      <c r="I42" s="223">
        <v>23.6</v>
      </c>
      <c r="J42" s="223">
        <f t="shared" si="10"/>
        <v>9.7000000000000028</v>
      </c>
      <c r="K42" s="223">
        <f t="shared" si="10"/>
        <v>58.4</v>
      </c>
      <c r="L42" s="241">
        <f>J42/K42</f>
        <v>0.16609589041095896</v>
      </c>
      <c r="M42" s="242"/>
      <c r="N42" s="243">
        <f t="shared" si="12"/>
        <v>0.83047945205479479</v>
      </c>
      <c r="O42" s="244"/>
    </row>
    <row r="43" spans="1:15" customFormat="1" ht="12.75">
      <c r="A43" s="219"/>
      <c r="B43" s="220"/>
      <c r="C43" s="220"/>
      <c r="D43" s="1"/>
      <c r="E43" s="2" t="s">
        <v>374</v>
      </c>
      <c r="F43" s="223" t="s">
        <v>64</v>
      </c>
      <c r="G43" s="223">
        <v>70.400000000000006</v>
      </c>
      <c r="H43" s="223">
        <v>65.599999999999994</v>
      </c>
      <c r="I43" s="223">
        <v>25.9</v>
      </c>
      <c r="J43" s="223">
        <f t="shared" si="10"/>
        <v>4.8000000000000114</v>
      </c>
      <c r="K43" s="223">
        <f t="shared" si="10"/>
        <v>39.699999999999996</v>
      </c>
      <c r="L43" s="241">
        <f t="shared" si="11"/>
        <v>0.12090680100755698</v>
      </c>
      <c r="M43" s="242"/>
      <c r="N43" s="243">
        <f t="shared" si="12"/>
        <v>0.60453400503778487</v>
      </c>
      <c r="O43" s="244"/>
    </row>
    <row r="44" spans="1:15" customFormat="1" ht="12.75">
      <c r="A44" s="219"/>
      <c r="B44" s="220"/>
      <c r="C44" s="220"/>
      <c r="D44" s="1"/>
      <c r="E44" s="240" t="s">
        <v>375</v>
      </c>
      <c r="F44" s="223" t="s">
        <v>65</v>
      </c>
      <c r="G44" s="223">
        <v>85.4</v>
      </c>
      <c r="H44" s="223">
        <v>78.599999999999994</v>
      </c>
      <c r="I44" s="223">
        <v>24.8</v>
      </c>
      <c r="J44" s="223">
        <f t="shared" si="10"/>
        <v>6.8000000000000114</v>
      </c>
      <c r="K44" s="223">
        <f t="shared" si="10"/>
        <v>53.8</v>
      </c>
      <c r="L44" s="241">
        <f t="shared" si="11"/>
        <v>0.12639405204460988</v>
      </c>
      <c r="M44" s="242"/>
      <c r="N44" s="243">
        <f t="shared" si="12"/>
        <v>0.63197026022304936</v>
      </c>
      <c r="O44" s="244"/>
    </row>
    <row r="45" spans="1:15" customFormat="1" ht="12.75">
      <c r="A45" s="219"/>
      <c r="B45" s="220"/>
      <c r="C45" s="220"/>
      <c r="D45" s="1"/>
      <c r="E45" s="2" t="s">
        <v>376</v>
      </c>
      <c r="F45" s="223" t="s">
        <v>66</v>
      </c>
      <c r="G45" s="223">
        <v>60.2</v>
      </c>
      <c r="H45" s="223">
        <v>52.1</v>
      </c>
      <c r="I45" s="223">
        <v>13.4</v>
      </c>
      <c r="J45" s="223">
        <f t="shared" si="10"/>
        <v>8.1000000000000014</v>
      </c>
      <c r="K45" s="223">
        <f t="shared" si="10"/>
        <v>38.700000000000003</v>
      </c>
      <c r="L45" s="241">
        <f t="shared" si="11"/>
        <v>0.20930232558139536</v>
      </c>
      <c r="M45" s="242"/>
      <c r="N45" s="243">
        <f>L45/0.2</f>
        <v>1.0465116279069768</v>
      </c>
      <c r="O45" s="244"/>
    </row>
    <row r="46" spans="1:15" customFormat="1" ht="12.75">
      <c r="A46" s="247"/>
      <c r="B46" s="248"/>
      <c r="C46" s="248"/>
      <c r="D46" s="249"/>
      <c r="E46" s="250" t="s">
        <v>270</v>
      </c>
      <c r="F46" s="251" t="s">
        <v>67</v>
      </c>
      <c r="G46" s="251">
        <v>115.2</v>
      </c>
      <c r="H46" s="251">
        <v>99.4</v>
      </c>
      <c r="I46" s="251">
        <v>36.9</v>
      </c>
      <c r="J46" s="251">
        <f t="shared" si="10"/>
        <v>15.799999999999997</v>
      </c>
      <c r="K46" s="251">
        <f t="shared" si="10"/>
        <v>62.500000000000007</v>
      </c>
      <c r="L46" s="252">
        <f t="shared" si="11"/>
        <v>0.25279999999999991</v>
      </c>
      <c r="M46" s="253"/>
      <c r="N46" s="243">
        <f t="shared" si="12"/>
        <v>1.2639999999999996</v>
      </c>
      <c r="O46" s="244"/>
    </row>
    <row r="47" spans="1:15" customFormat="1" ht="12.75">
      <c r="A47" s="212" t="s">
        <v>72</v>
      </c>
      <c r="B47" s="213">
        <v>2</v>
      </c>
      <c r="C47" s="213">
        <v>1</v>
      </c>
      <c r="D47" s="214"/>
      <c r="E47" s="215" t="s">
        <v>257</v>
      </c>
      <c r="F47" s="254" t="s">
        <v>59</v>
      </c>
      <c r="G47" s="255">
        <v>65.400000000000006</v>
      </c>
      <c r="H47" s="255">
        <v>63.1</v>
      </c>
      <c r="I47" s="255">
        <v>22.1</v>
      </c>
      <c r="J47" s="255">
        <f t="shared" si="10"/>
        <v>2.3000000000000043</v>
      </c>
      <c r="K47" s="255">
        <f t="shared" si="10"/>
        <v>41</v>
      </c>
      <c r="L47" s="256">
        <f t="shared" si="11"/>
        <v>5.6097560975609861E-2</v>
      </c>
      <c r="M47" s="257"/>
      <c r="N47" s="243">
        <f>L47/0.2</f>
        <v>0.28048780487804931</v>
      </c>
      <c r="O47" s="244"/>
    </row>
    <row r="48" spans="1:15" customFormat="1" ht="12.75">
      <c r="A48" s="219"/>
      <c r="B48" s="220"/>
      <c r="C48" s="220"/>
      <c r="D48" s="1"/>
      <c r="E48" s="2" t="s">
        <v>377</v>
      </c>
      <c r="F48" s="240" t="s">
        <v>262</v>
      </c>
      <c r="G48" s="223">
        <v>81.400000000000006</v>
      </c>
      <c r="H48" s="223">
        <v>78.099999999999994</v>
      </c>
      <c r="I48" s="223">
        <v>23.5</v>
      </c>
      <c r="J48" s="223">
        <f t="shared" si="10"/>
        <v>3.3000000000000114</v>
      </c>
      <c r="K48" s="223">
        <f t="shared" si="10"/>
        <v>54.599999999999994</v>
      </c>
      <c r="L48" s="241">
        <f t="shared" si="11"/>
        <v>6.0439560439560655E-2</v>
      </c>
      <c r="M48" s="242"/>
      <c r="N48" s="243">
        <f t="shared" ref="N48:N56" si="13">L48/0.2</f>
        <v>0.30219780219780323</v>
      </c>
      <c r="O48" s="244"/>
    </row>
    <row r="49" spans="1:15" customFormat="1" ht="12.75">
      <c r="A49" s="219"/>
      <c r="B49" s="220"/>
      <c r="C49" s="220"/>
      <c r="D49" s="1"/>
      <c r="E49" s="2" t="s">
        <v>378</v>
      </c>
      <c r="F49" s="240" t="s">
        <v>60</v>
      </c>
      <c r="G49" s="223">
        <v>83</v>
      </c>
      <c r="H49" s="223">
        <v>76.900000000000006</v>
      </c>
      <c r="I49" s="223">
        <v>22.1</v>
      </c>
      <c r="J49" s="223">
        <f t="shared" si="10"/>
        <v>6.0999999999999943</v>
      </c>
      <c r="K49" s="223">
        <f t="shared" si="10"/>
        <v>54.800000000000004</v>
      </c>
      <c r="L49" s="241">
        <f t="shared" si="11"/>
        <v>0.11131386861313858</v>
      </c>
      <c r="M49" s="242"/>
      <c r="N49" s="243">
        <f t="shared" si="13"/>
        <v>0.55656934306569283</v>
      </c>
      <c r="O49" s="244"/>
    </row>
    <row r="50" spans="1:15" customFormat="1" ht="12.75">
      <c r="A50" s="219"/>
      <c r="B50" s="220"/>
      <c r="C50" s="220" t="s">
        <v>358</v>
      </c>
      <c r="D50" s="1"/>
      <c r="E50" s="2" t="s">
        <v>379</v>
      </c>
      <c r="F50" s="240" t="s">
        <v>61</v>
      </c>
      <c r="G50" s="223">
        <v>80.400000000000006</v>
      </c>
      <c r="H50" s="223">
        <v>75.2</v>
      </c>
      <c r="I50" s="223">
        <v>22.3</v>
      </c>
      <c r="J50" s="223">
        <f t="shared" si="10"/>
        <v>5.2000000000000028</v>
      </c>
      <c r="K50" s="223">
        <f t="shared" si="10"/>
        <v>52.900000000000006</v>
      </c>
      <c r="L50" s="241">
        <f t="shared" si="11"/>
        <v>9.8298676748582267E-2</v>
      </c>
      <c r="M50" s="242"/>
      <c r="N50" s="243">
        <f t="shared" si="13"/>
        <v>0.49149338374291129</v>
      </c>
      <c r="O50" s="244"/>
    </row>
    <row r="51" spans="1:15" customFormat="1" ht="12.75">
      <c r="A51" s="219"/>
      <c r="B51" s="220"/>
      <c r="C51" s="220"/>
      <c r="D51" s="1"/>
      <c r="E51" s="2" t="s">
        <v>380</v>
      </c>
      <c r="F51" s="223" t="s">
        <v>62</v>
      </c>
      <c r="G51" s="223">
        <v>82.5</v>
      </c>
      <c r="H51" s="223">
        <v>77.099999999999994</v>
      </c>
      <c r="I51" s="223">
        <v>20.7</v>
      </c>
      <c r="J51" s="223">
        <f t="shared" si="10"/>
        <v>5.4000000000000057</v>
      </c>
      <c r="K51" s="223">
        <f t="shared" si="10"/>
        <v>56.399999999999991</v>
      </c>
      <c r="L51" s="241">
        <f t="shared" si="11"/>
        <v>9.574468085106394E-2</v>
      </c>
      <c r="M51" s="242"/>
      <c r="N51" s="243">
        <f t="shared" si="13"/>
        <v>0.47872340425531967</v>
      </c>
      <c r="O51" s="244"/>
    </row>
    <row r="52" spans="1:15" customFormat="1" ht="12.75">
      <c r="A52" s="219"/>
      <c r="B52" s="220"/>
      <c r="C52" s="220"/>
      <c r="D52" s="1"/>
      <c r="E52" s="2" t="s">
        <v>381</v>
      </c>
      <c r="F52" s="223" t="s">
        <v>63</v>
      </c>
      <c r="G52" s="223">
        <v>92.3</v>
      </c>
      <c r="H52" s="223">
        <v>82.2</v>
      </c>
      <c r="I52" s="223">
        <v>22.6</v>
      </c>
      <c r="J52" s="223">
        <f t="shared" si="10"/>
        <v>10.099999999999994</v>
      </c>
      <c r="K52" s="223">
        <f t="shared" si="10"/>
        <v>59.6</v>
      </c>
      <c r="L52" s="241">
        <f t="shared" si="11"/>
        <v>0.16946308724832204</v>
      </c>
      <c r="M52" s="242"/>
      <c r="N52" s="243">
        <f t="shared" si="13"/>
        <v>0.84731543624161021</v>
      </c>
      <c r="O52" s="244"/>
    </row>
    <row r="53" spans="1:15" customFormat="1" ht="12.75">
      <c r="A53" s="219"/>
      <c r="B53" s="220"/>
      <c r="C53" s="220"/>
      <c r="D53" s="1"/>
      <c r="E53" s="2" t="s">
        <v>382</v>
      </c>
      <c r="F53" s="223" t="s">
        <v>64</v>
      </c>
      <c r="G53" s="223">
        <v>107.1</v>
      </c>
      <c r="H53" s="223">
        <v>89.7</v>
      </c>
      <c r="I53" s="223">
        <v>23.5</v>
      </c>
      <c r="J53" s="223">
        <f t="shared" ref="J53:K68" si="14">G53-H53</f>
        <v>17.399999999999991</v>
      </c>
      <c r="K53" s="223">
        <f t="shared" si="14"/>
        <v>66.2</v>
      </c>
      <c r="L53" s="241">
        <f t="shared" si="11"/>
        <v>0.26283987915407842</v>
      </c>
      <c r="M53" s="242"/>
      <c r="N53" s="243">
        <f t="shared" si="13"/>
        <v>1.3141993957703919</v>
      </c>
      <c r="O53" s="244"/>
    </row>
    <row r="54" spans="1:15" customFormat="1" ht="12.75">
      <c r="A54" s="219"/>
      <c r="B54" s="220"/>
      <c r="C54" s="220"/>
      <c r="D54" s="1"/>
      <c r="E54" s="2" t="s">
        <v>278</v>
      </c>
      <c r="F54" s="223" t="s">
        <v>65</v>
      </c>
      <c r="G54" s="223">
        <v>78.099999999999994</v>
      </c>
      <c r="H54" s="223">
        <v>67</v>
      </c>
      <c r="I54" s="223">
        <v>23.4</v>
      </c>
      <c r="J54" s="223">
        <f t="shared" si="14"/>
        <v>11.099999999999994</v>
      </c>
      <c r="K54" s="223">
        <f t="shared" si="14"/>
        <v>43.6</v>
      </c>
      <c r="L54" s="241">
        <f t="shared" si="11"/>
        <v>0.25458715596330261</v>
      </c>
      <c r="M54" s="242"/>
      <c r="N54" s="243">
        <f t="shared" si="13"/>
        <v>1.2729357798165131</v>
      </c>
      <c r="O54" s="244"/>
    </row>
    <row r="55" spans="1:15" customFormat="1" ht="12.75">
      <c r="A55" s="219"/>
      <c r="B55" s="220"/>
      <c r="C55" s="220"/>
      <c r="D55" s="1"/>
      <c r="E55" s="240" t="s">
        <v>383</v>
      </c>
      <c r="F55" s="223" t="s">
        <v>66</v>
      </c>
      <c r="G55" s="223">
        <v>94.4</v>
      </c>
      <c r="H55" s="223">
        <v>80.2</v>
      </c>
      <c r="I55" s="223">
        <v>22.1</v>
      </c>
      <c r="J55" s="223">
        <f t="shared" si="14"/>
        <v>14.200000000000003</v>
      </c>
      <c r="K55" s="223">
        <f t="shared" si="14"/>
        <v>58.1</v>
      </c>
      <c r="L55" s="241">
        <f t="shared" si="11"/>
        <v>0.24440619621342516</v>
      </c>
      <c r="M55" s="242"/>
      <c r="N55" s="243">
        <f t="shared" si="13"/>
        <v>1.2220309810671257</v>
      </c>
      <c r="O55" s="244"/>
    </row>
    <row r="56" spans="1:15" customFormat="1" ht="12.75">
      <c r="A56" s="219"/>
      <c r="B56" s="220"/>
      <c r="C56" s="220"/>
      <c r="D56" s="1"/>
      <c r="E56" s="2" t="s">
        <v>263</v>
      </c>
      <c r="F56" s="223" t="s">
        <v>67</v>
      </c>
      <c r="G56" s="223">
        <v>102.6</v>
      </c>
      <c r="H56" s="223">
        <v>86.4</v>
      </c>
      <c r="I56" s="223">
        <v>23</v>
      </c>
      <c r="J56" s="223">
        <f t="shared" si="14"/>
        <v>16.199999999999989</v>
      </c>
      <c r="K56" s="223">
        <f t="shared" si="14"/>
        <v>63.400000000000006</v>
      </c>
      <c r="L56" s="241">
        <f t="shared" si="11"/>
        <v>0.255520504731861</v>
      </c>
      <c r="M56" s="242"/>
      <c r="N56" s="243">
        <f t="shared" si="13"/>
        <v>1.2776025236593049</v>
      </c>
      <c r="O56" s="244"/>
    </row>
    <row r="57" spans="1:15" customFormat="1" ht="12.75">
      <c r="A57" s="212" t="s">
        <v>72</v>
      </c>
      <c r="B57" s="213">
        <v>3</v>
      </c>
      <c r="C57" s="213">
        <v>1</v>
      </c>
      <c r="D57" s="214"/>
      <c r="E57" s="215" t="s">
        <v>335</v>
      </c>
      <c r="F57" s="254" t="s">
        <v>59</v>
      </c>
      <c r="G57" s="255">
        <v>78.8</v>
      </c>
      <c r="H57" s="255">
        <v>75.5</v>
      </c>
      <c r="I57" s="255">
        <v>26.8</v>
      </c>
      <c r="J57" s="255">
        <f>G57-H57</f>
        <v>3.2999999999999972</v>
      </c>
      <c r="K57" s="255">
        <f t="shared" si="14"/>
        <v>48.7</v>
      </c>
      <c r="L57" s="256">
        <f t="shared" si="11"/>
        <v>6.7761806981519443E-2</v>
      </c>
      <c r="M57" s="257"/>
      <c r="N57" s="243">
        <f>L57/0.2</f>
        <v>0.33880903490759717</v>
      </c>
      <c r="O57" s="244"/>
    </row>
    <row r="58" spans="1:15" customFormat="1" ht="12.75">
      <c r="A58" s="219"/>
      <c r="B58" s="220"/>
      <c r="C58" s="220"/>
      <c r="D58" s="1"/>
      <c r="E58" s="2" t="s">
        <v>384</v>
      </c>
      <c r="F58" s="240" t="s">
        <v>262</v>
      </c>
      <c r="G58" s="223">
        <v>88.3</v>
      </c>
      <c r="H58" s="223">
        <v>83.2</v>
      </c>
      <c r="I58" s="223">
        <v>22.1</v>
      </c>
      <c r="J58" s="223">
        <f t="shared" ref="J58:K76" si="15">G58-H58</f>
        <v>5.0999999999999943</v>
      </c>
      <c r="K58" s="223">
        <f t="shared" si="14"/>
        <v>61.1</v>
      </c>
      <c r="L58" s="241">
        <f t="shared" si="11"/>
        <v>8.3469721767594013E-2</v>
      </c>
      <c r="M58" s="242"/>
      <c r="N58" s="243">
        <f t="shared" ref="N58:N66" si="16">L58/0.2</f>
        <v>0.41734860883797004</v>
      </c>
      <c r="O58" s="244"/>
    </row>
    <row r="59" spans="1:15" customFormat="1" ht="12.75">
      <c r="A59" s="219"/>
      <c r="B59" s="220"/>
      <c r="C59" s="220"/>
      <c r="D59" s="1"/>
      <c r="E59" s="2" t="s">
        <v>385</v>
      </c>
      <c r="F59" s="240" t="s">
        <v>60</v>
      </c>
      <c r="G59" s="223">
        <v>91.6</v>
      </c>
      <c r="H59" s="223">
        <v>84.9</v>
      </c>
      <c r="I59" s="223">
        <v>23.3</v>
      </c>
      <c r="J59" s="223">
        <f t="shared" si="15"/>
        <v>6.6999999999999886</v>
      </c>
      <c r="K59" s="223">
        <f t="shared" si="14"/>
        <v>61.600000000000009</v>
      </c>
      <c r="L59" s="241">
        <f t="shared" si="11"/>
        <v>0.10876623376623357</v>
      </c>
      <c r="M59" s="242"/>
      <c r="N59" s="243">
        <f t="shared" si="16"/>
        <v>0.54383116883116778</v>
      </c>
      <c r="O59" s="244"/>
    </row>
    <row r="60" spans="1:15" customFormat="1" ht="12.75">
      <c r="A60" s="219"/>
      <c r="B60" s="220"/>
      <c r="C60" s="220" t="s">
        <v>358</v>
      </c>
      <c r="D60" s="1"/>
      <c r="E60" s="2" t="s">
        <v>386</v>
      </c>
      <c r="F60" s="240" t="s">
        <v>61</v>
      </c>
      <c r="G60" s="223">
        <v>90.5</v>
      </c>
      <c r="H60" s="223">
        <v>83.6</v>
      </c>
      <c r="I60" s="223">
        <v>29.1</v>
      </c>
      <c r="J60" s="223">
        <f t="shared" si="15"/>
        <v>6.9000000000000057</v>
      </c>
      <c r="K60" s="223">
        <f t="shared" si="14"/>
        <v>54.499999999999993</v>
      </c>
      <c r="L60" s="241">
        <f t="shared" si="11"/>
        <v>0.12660550458715608</v>
      </c>
      <c r="M60" s="242"/>
      <c r="N60" s="243">
        <f t="shared" si="16"/>
        <v>0.63302752293578035</v>
      </c>
      <c r="O60" s="244"/>
    </row>
    <row r="61" spans="1:15" customFormat="1" ht="12.75">
      <c r="A61" s="219"/>
      <c r="B61" s="220"/>
      <c r="C61" s="220"/>
      <c r="D61" s="1"/>
      <c r="E61" s="2" t="s">
        <v>293</v>
      </c>
      <c r="F61" s="223" t="s">
        <v>62</v>
      </c>
      <c r="G61" s="223">
        <v>81</v>
      </c>
      <c r="H61" s="223">
        <v>74.7</v>
      </c>
      <c r="I61" s="223">
        <v>22.4</v>
      </c>
      <c r="J61" s="223">
        <f t="shared" si="15"/>
        <v>6.2999999999999972</v>
      </c>
      <c r="K61" s="223">
        <f t="shared" si="14"/>
        <v>52.300000000000004</v>
      </c>
      <c r="L61" s="241">
        <f t="shared" si="11"/>
        <v>0.12045889101338425</v>
      </c>
      <c r="M61" s="242"/>
      <c r="N61" s="243">
        <f t="shared" si="16"/>
        <v>0.60229445506692125</v>
      </c>
      <c r="O61" s="244"/>
    </row>
    <row r="62" spans="1:15" customFormat="1" ht="12.75">
      <c r="A62" s="219"/>
      <c r="B62" s="220"/>
      <c r="C62" s="220"/>
      <c r="D62" s="1"/>
      <c r="E62" s="2" t="s">
        <v>300</v>
      </c>
      <c r="F62" s="223" t="s">
        <v>63</v>
      </c>
      <c r="G62" s="223">
        <v>77.400000000000006</v>
      </c>
      <c r="H62" s="223">
        <v>71.3</v>
      </c>
      <c r="I62" s="223">
        <v>22.8</v>
      </c>
      <c r="J62" s="223">
        <f t="shared" si="15"/>
        <v>6.1000000000000085</v>
      </c>
      <c r="K62" s="223">
        <f t="shared" si="14"/>
        <v>48.5</v>
      </c>
      <c r="L62" s="241">
        <f t="shared" si="11"/>
        <v>0.12577319587628882</v>
      </c>
      <c r="M62" s="242"/>
      <c r="N62" s="243">
        <f t="shared" si="16"/>
        <v>0.62886597938144406</v>
      </c>
      <c r="O62" s="244"/>
    </row>
    <row r="63" spans="1:15" customFormat="1" ht="12.75">
      <c r="A63" s="219"/>
      <c r="B63" s="220"/>
      <c r="C63" s="220"/>
      <c r="D63" s="1"/>
      <c r="E63" s="240" t="s">
        <v>285</v>
      </c>
      <c r="F63" s="223" t="s">
        <v>64</v>
      </c>
      <c r="G63" s="223">
        <v>103.5</v>
      </c>
      <c r="H63" s="223">
        <v>90.6</v>
      </c>
      <c r="I63" s="223">
        <v>22.9</v>
      </c>
      <c r="J63" s="223">
        <f t="shared" si="15"/>
        <v>12.900000000000006</v>
      </c>
      <c r="K63" s="223">
        <f t="shared" si="14"/>
        <v>67.699999999999989</v>
      </c>
      <c r="L63" s="241">
        <f t="shared" si="11"/>
        <v>0.19054652880354517</v>
      </c>
      <c r="M63" s="242"/>
      <c r="N63" s="243">
        <f t="shared" si="16"/>
        <v>0.95273264401772584</v>
      </c>
      <c r="O63" s="244"/>
    </row>
    <row r="64" spans="1:15" customFormat="1" ht="12.75">
      <c r="A64" s="219"/>
      <c r="B64" s="220"/>
      <c r="C64" s="220"/>
      <c r="D64" s="1"/>
      <c r="E64" s="2" t="s">
        <v>387</v>
      </c>
      <c r="F64" s="223" t="s">
        <v>65</v>
      </c>
      <c r="G64" s="223">
        <v>96.1</v>
      </c>
      <c r="H64" s="223">
        <v>81.2</v>
      </c>
      <c r="I64" s="223">
        <v>21.8</v>
      </c>
      <c r="J64" s="223">
        <f t="shared" si="15"/>
        <v>14.899999999999991</v>
      </c>
      <c r="K64" s="223">
        <f t="shared" si="14"/>
        <v>59.400000000000006</v>
      </c>
      <c r="L64" s="241">
        <f t="shared" si="11"/>
        <v>0.2508417508417507</v>
      </c>
      <c r="M64" s="242"/>
      <c r="N64" s="243">
        <f t="shared" si="16"/>
        <v>1.2542087542087534</v>
      </c>
      <c r="O64" s="244"/>
    </row>
    <row r="65" spans="1:15" customFormat="1" ht="12.75">
      <c r="A65" s="219"/>
      <c r="B65" s="220"/>
      <c r="C65" s="220"/>
      <c r="D65" s="1"/>
      <c r="E65" s="240" t="s">
        <v>388</v>
      </c>
      <c r="F65" s="223" t="s">
        <v>66</v>
      </c>
      <c r="G65" s="223">
        <v>99</v>
      </c>
      <c r="H65" s="223">
        <v>83.2</v>
      </c>
      <c r="I65" s="223">
        <v>22.7</v>
      </c>
      <c r="J65" s="223">
        <f t="shared" si="15"/>
        <v>15.799999999999997</v>
      </c>
      <c r="K65" s="223">
        <f t="shared" si="14"/>
        <v>60.5</v>
      </c>
      <c r="L65" s="241">
        <f t="shared" si="11"/>
        <v>0.26115702479338837</v>
      </c>
      <c r="M65" s="242"/>
      <c r="N65" s="243">
        <f t="shared" si="16"/>
        <v>1.3057851239669418</v>
      </c>
      <c r="O65" s="244"/>
    </row>
    <row r="66" spans="1:15" customFormat="1" ht="12.75">
      <c r="A66" s="247"/>
      <c r="B66" s="248"/>
      <c r="C66" s="248"/>
      <c r="D66" s="249"/>
      <c r="E66" s="250" t="s">
        <v>282</v>
      </c>
      <c r="F66" s="251" t="s">
        <v>67</v>
      </c>
      <c r="G66" s="251">
        <v>93.3</v>
      </c>
      <c r="H66" s="251">
        <v>80.900000000000006</v>
      </c>
      <c r="I66" s="251">
        <v>20.5</v>
      </c>
      <c r="J66" s="251">
        <f t="shared" si="15"/>
        <v>12.399999999999991</v>
      </c>
      <c r="K66" s="251">
        <f t="shared" si="14"/>
        <v>60.400000000000006</v>
      </c>
      <c r="L66" s="252">
        <f t="shared" si="11"/>
        <v>0.20529801324503294</v>
      </c>
      <c r="M66" s="253"/>
      <c r="N66" s="243">
        <f t="shared" si="16"/>
        <v>1.0264900662251646</v>
      </c>
      <c r="O66" s="244"/>
    </row>
    <row r="67" spans="1:15" customFormat="1" ht="12.75">
      <c r="A67" s="212" t="s">
        <v>72</v>
      </c>
      <c r="B67" s="220">
        <v>1</v>
      </c>
      <c r="C67" s="220">
        <v>1</v>
      </c>
      <c r="D67" s="1"/>
      <c r="E67" s="2" t="s">
        <v>389</v>
      </c>
      <c r="F67" s="240" t="s">
        <v>59</v>
      </c>
      <c r="G67" s="223">
        <v>78.900000000000006</v>
      </c>
      <c r="H67" s="223">
        <v>74.2</v>
      </c>
      <c r="I67" s="223">
        <v>23.6</v>
      </c>
      <c r="J67" s="223">
        <f t="shared" si="15"/>
        <v>4.7000000000000028</v>
      </c>
      <c r="K67" s="223">
        <f t="shared" si="14"/>
        <v>50.6</v>
      </c>
      <c r="L67" s="241">
        <f t="shared" si="11"/>
        <v>9.2885375494071193E-2</v>
      </c>
      <c r="M67" s="242"/>
      <c r="N67" s="243">
        <f>L67/0.2</f>
        <v>0.46442687747035594</v>
      </c>
      <c r="O67" s="244"/>
    </row>
    <row r="68" spans="1:15" customFormat="1" ht="12.75">
      <c r="A68" s="219"/>
      <c r="B68" s="220"/>
      <c r="C68" s="220"/>
      <c r="D68" s="1"/>
      <c r="E68" s="2" t="s">
        <v>390</v>
      </c>
      <c r="F68" s="240" t="s">
        <v>262</v>
      </c>
      <c r="G68" s="223">
        <v>91.4</v>
      </c>
      <c r="H68" s="223">
        <v>87</v>
      </c>
      <c r="I68" s="223">
        <v>25.3</v>
      </c>
      <c r="J68" s="223">
        <f t="shared" si="15"/>
        <v>4.4000000000000057</v>
      </c>
      <c r="K68" s="223">
        <f t="shared" si="14"/>
        <v>61.7</v>
      </c>
      <c r="L68" s="241">
        <f t="shared" si="11"/>
        <v>7.1312803889789389E-2</v>
      </c>
      <c r="M68" s="242"/>
      <c r="N68" s="243">
        <f t="shared" ref="N68:N76" si="17">L68/0.2</f>
        <v>0.35656401944894695</v>
      </c>
      <c r="O68" s="244"/>
    </row>
    <row r="69" spans="1:15" customFormat="1" ht="12.75">
      <c r="A69" s="219"/>
      <c r="B69" s="220"/>
      <c r="C69" s="220"/>
      <c r="D69" s="1"/>
      <c r="E69" s="2" t="s">
        <v>391</v>
      </c>
      <c r="F69" s="2" t="s">
        <v>60</v>
      </c>
      <c r="G69" s="220">
        <v>89</v>
      </c>
      <c r="H69" s="220">
        <v>80.8</v>
      </c>
      <c r="I69" s="220">
        <v>21.4</v>
      </c>
      <c r="J69" s="220">
        <f t="shared" si="15"/>
        <v>8.2000000000000028</v>
      </c>
      <c r="K69" s="220">
        <f t="shared" si="15"/>
        <v>59.4</v>
      </c>
      <c r="L69" s="221">
        <f t="shared" si="11"/>
        <v>0.13804713804713808</v>
      </c>
      <c r="M69" s="239"/>
      <c r="N69" s="25">
        <f t="shared" si="17"/>
        <v>0.69023569023569042</v>
      </c>
    </row>
    <row r="70" spans="1:15" customFormat="1" ht="12.75">
      <c r="A70" s="219"/>
      <c r="B70" s="220"/>
      <c r="C70" s="220" t="s">
        <v>360</v>
      </c>
      <c r="D70" s="1"/>
      <c r="E70" s="2" t="s">
        <v>392</v>
      </c>
      <c r="F70" s="2" t="s">
        <v>61</v>
      </c>
      <c r="G70" s="220">
        <v>74</v>
      </c>
      <c r="H70" s="220">
        <v>69.7</v>
      </c>
      <c r="I70" s="220">
        <v>22.3</v>
      </c>
      <c r="J70" s="220">
        <f t="shared" si="15"/>
        <v>4.2999999999999972</v>
      </c>
      <c r="K70" s="220">
        <f t="shared" si="15"/>
        <v>47.400000000000006</v>
      </c>
      <c r="L70" s="221">
        <f t="shared" si="11"/>
        <v>9.0717299578059005E-2</v>
      </c>
      <c r="M70" s="239"/>
      <c r="N70" s="25">
        <f t="shared" si="17"/>
        <v>0.45358649789029498</v>
      </c>
    </row>
    <row r="71" spans="1:15" customFormat="1" ht="12.75">
      <c r="A71" s="219"/>
      <c r="B71" s="220"/>
      <c r="C71" s="220"/>
      <c r="D71" s="1"/>
      <c r="E71" s="2" t="s">
        <v>393</v>
      </c>
      <c r="F71" s="220" t="s">
        <v>62</v>
      </c>
      <c r="G71" s="220">
        <v>82.1</v>
      </c>
      <c r="H71" s="220">
        <v>74.099999999999994</v>
      </c>
      <c r="I71" s="220">
        <v>22.5</v>
      </c>
      <c r="J71" s="220">
        <f t="shared" si="15"/>
        <v>8</v>
      </c>
      <c r="K71" s="220">
        <f t="shared" si="15"/>
        <v>51.599999999999994</v>
      </c>
      <c r="L71" s="221">
        <f t="shared" si="11"/>
        <v>0.15503875968992251</v>
      </c>
      <c r="M71" s="239"/>
      <c r="N71" s="25">
        <f t="shared" si="17"/>
        <v>0.77519379844961245</v>
      </c>
    </row>
    <row r="72" spans="1:15" customFormat="1" ht="12.75">
      <c r="A72" s="219"/>
      <c r="B72" s="220"/>
      <c r="C72" s="220"/>
      <c r="D72" s="1"/>
      <c r="E72" s="2" t="s">
        <v>394</v>
      </c>
      <c r="F72" s="220" t="s">
        <v>63</v>
      </c>
      <c r="G72" s="220">
        <v>85.3</v>
      </c>
      <c r="H72" s="220">
        <v>73.099999999999994</v>
      </c>
      <c r="I72" s="220">
        <v>22.3</v>
      </c>
      <c r="J72" s="220">
        <f t="shared" si="15"/>
        <v>12.200000000000003</v>
      </c>
      <c r="K72" s="220">
        <f t="shared" si="15"/>
        <v>50.8</v>
      </c>
      <c r="L72" s="221">
        <f t="shared" si="11"/>
        <v>0.2401574803149607</v>
      </c>
      <c r="M72" s="239"/>
      <c r="N72" s="25">
        <f t="shared" si="17"/>
        <v>1.2007874015748035</v>
      </c>
    </row>
    <row r="73" spans="1:15" customFormat="1" ht="12.75">
      <c r="A73" s="219"/>
      <c r="B73" s="220"/>
      <c r="C73" s="220"/>
      <c r="D73" s="1"/>
      <c r="E73" s="2" t="s">
        <v>395</v>
      </c>
      <c r="F73" s="220" t="s">
        <v>64</v>
      </c>
      <c r="G73" s="220">
        <v>98.9</v>
      </c>
      <c r="H73" s="220">
        <v>83.6</v>
      </c>
      <c r="I73" s="220">
        <v>24.2</v>
      </c>
      <c r="J73" s="220">
        <f t="shared" si="15"/>
        <v>15.300000000000011</v>
      </c>
      <c r="K73" s="220">
        <f t="shared" si="15"/>
        <v>59.399999999999991</v>
      </c>
      <c r="L73" s="221">
        <f t="shared" si="11"/>
        <v>0.25757575757575779</v>
      </c>
      <c r="M73" s="239"/>
      <c r="N73" s="25">
        <f t="shared" si="17"/>
        <v>1.287878787878789</v>
      </c>
    </row>
    <row r="74" spans="1:15" customFormat="1" ht="12.75">
      <c r="A74" s="219"/>
      <c r="B74" s="220"/>
      <c r="C74" s="220"/>
      <c r="D74" s="1"/>
      <c r="E74" s="2" t="s">
        <v>396</v>
      </c>
      <c r="F74" s="220" t="s">
        <v>65</v>
      </c>
      <c r="G74" s="220">
        <v>91.1</v>
      </c>
      <c r="H74" s="220">
        <v>84.3</v>
      </c>
      <c r="I74" s="220">
        <v>24.3</v>
      </c>
      <c r="J74" s="220">
        <f t="shared" si="15"/>
        <v>6.7999999999999972</v>
      </c>
      <c r="K74" s="220">
        <f t="shared" si="15"/>
        <v>60</v>
      </c>
      <c r="L74" s="221">
        <f t="shared" si="11"/>
        <v>0.11333333333333329</v>
      </c>
      <c r="M74" s="239"/>
      <c r="N74" s="25">
        <f t="shared" si="17"/>
        <v>0.56666666666666643</v>
      </c>
    </row>
    <row r="75" spans="1:15" customFormat="1" ht="12.75">
      <c r="A75" s="219"/>
      <c r="B75" s="220"/>
      <c r="C75" s="220"/>
      <c r="D75" s="1"/>
      <c r="E75" s="2" t="s">
        <v>397</v>
      </c>
      <c r="F75" s="220" t="s">
        <v>66</v>
      </c>
      <c r="G75" s="220">
        <v>96.6</v>
      </c>
      <c r="H75" s="220">
        <v>82.2</v>
      </c>
      <c r="I75" s="220">
        <v>29.8</v>
      </c>
      <c r="J75" s="220">
        <f t="shared" si="15"/>
        <v>14.399999999999991</v>
      </c>
      <c r="K75" s="220">
        <f t="shared" si="15"/>
        <v>52.400000000000006</v>
      </c>
      <c r="L75" s="221">
        <f t="shared" si="11"/>
        <v>0.2748091603053433</v>
      </c>
      <c r="M75" s="239"/>
      <c r="N75" s="25">
        <f t="shared" si="17"/>
        <v>1.3740458015267165</v>
      </c>
    </row>
    <row r="76" spans="1:15" customFormat="1" ht="12.75">
      <c r="A76" s="247"/>
      <c r="B76" s="248"/>
      <c r="C76" s="248"/>
      <c r="D76" s="249"/>
      <c r="E76" s="250" t="s">
        <v>398</v>
      </c>
      <c r="F76" s="248" t="s">
        <v>67</v>
      </c>
      <c r="G76" s="248">
        <v>87.6</v>
      </c>
      <c r="H76" s="248">
        <v>73.8</v>
      </c>
      <c r="I76" s="248">
        <v>22.5</v>
      </c>
      <c r="J76" s="248">
        <f t="shared" si="15"/>
        <v>13.799999999999997</v>
      </c>
      <c r="K76" s="248">
        <f t="shared" si="15"/>
        <v>51.3</v>
      </c>
      <c r="L76" s="258">
        <f t="shared" si="11"/>
        <v>0.26900584795321636</v>
      </c>
      <c r="M76" s="259"/>
      <c r="N76" s="25">
        <f t="shared" si="17"/>
        <v>1.3450292397660817</v>
      </c>
    </row>
    <row r="77" spans="1:15" customFormat="1" ht="12.75">
      <c r="A77" s="212" t="s">
        <v>72</v>
      </c>
      <c r="B77" s="220">
        <v>2</v>
      </c>
      <c r="C77" s="220">
        <v>1</v>
      </c>
      <c r="D77" s="1"/>
      <c r="E77" s="2" t="s">
        <v>399</v>
      </c>
      <c r="F77" s="240" t="s">
        <v>59</v>
      </c>
      <c r="G77" s="223">
        <v>84.3</v>
      </c>
      <c r="H77" s="223">
        <v>78.599999999999994</v>
      </c>
      <c r="I77" s="223">
        <v>25</v>
      </c>
      <c r="J77" s="223">
        <f t="shared" ref="J77:K92" si="18">G77-H77</f>
        <v>5.7000000000000028</v>
      </c>
      <c r="K77" s="223">
        <f t="shared" si="18"/>
        <v>53.599999999999994</v>
      </c>
      <c r="L77" s="241">
        <f t="shared" si="11"/>
        <v>0.10634328358208962</v>
      </c>
      <c r="M77" s="242"/>
      <c r="N77" s="243">
        <f>L77/0.2</f>
        <v>0.5317164179104481</v>
      </c>
      <c r="O77" s="244"/>
    </row>
    <row r="78" spans="1:15" customFormat="1" ht="12.75">
      <c r="A78" s="219"/>
      <c r="B78" s="220"/>
      <c r="C78" s="220"/>
      <c r="D78" s="1"/>
      <c r="E78" s="2" t="s">
        <v>400</v>
      </c>
      <c r="F78" s="240" t="s">
        <v>262</v>
      </c>
      <c r="G78" s="223">
        <v>83</v>
      </c>
      <c r="H78" s="223">
        <v>76.5</v>
      </c>
      <c r="I78" s="223">
        <v>22.5</v>
      </c>
      <c r="J78" s="223">
        <f t="shared" si="18"/>
        <v>6.5</v>
      </c>
      <c r="K78" s="223">
        <f t="shared" si="18"/>
        <v>54</v>
      </c>
      <c r="L78" s="241">
        <f t="shared" si="11"/>
        <v>0.12037037037037036</v>
      </c>
      <c r="M78" s="242"/>
      <c r="N78" s="243">
        <f t="shared" ref="N78:N86" si="19">L78/0.2</f>
        <v>0.60185185185185175</v>
      </c>
      <c r="O78" s="244"/>
    </row>
    <row r="79" spans="1:15" customFormat="1" ht="12.75">
      <c r="A79" s="219"/>
      <c r="B79" s="220"/>
      <c r="C79" s="220"/>
      <c r="D79" s="1"/>
      <c r="E79" s="2" t="s">
        <v>401</v>
      </c>
      <c r="F79" s="2" t="s">
        <v>60</v>
      </c>
      <c r="G79" s="220">
        <v>76.5</v>
      </c>
      <c r="H79" s="220">
        <v>69.7</v>
      </c>
      <c r="I79" s="220">
        <v>25.4</v>
      </c>
      <c r="J79" s="220">
        <f t="shared" si="18"/>
        <v>6.7999999999999972</v>
      </c>
      <c r="K79" s="220">
        <f t="shared" si="18"/>
        <v>44.300000000000004</v>
      </c>
      <c r="L79" s="221">
        <f t="shared" si="11"/>
        <v>0.15349887133182835</v>
      </c>
      <c r="M79" s="239"/>
      <c r="N79" s="25">
        <f t="shared" si="19"/>
        <v>0.76749435665914167</v>
      </c>
    </row>
    <row r="80" spans="1:15" customFormat="1" ht="12.75">
      <c r="A80" s="219"/>
      <c r="B80" s="220"/>
      <c r="C80" s="220" t="s">
        <v>360</v>
      </c>
      <c r="D80" s="1"/>
      <c r="E80" s="2" t="s">
        <v>402</v>
      </c>
      <c r="F80" s="2" t="s">
        <v>61</v>
      </c>
      <c r="G80" s="220">
        <v>86.3</v>
      </c>
      <c r="H80" s="220">
        <v>77.400000000000006</v>
      </c>
      <c r="I80" s="220">
        <v>22.6</v>
      </c>
      <c r="J80" s="220">
        <f t="shared" si="18"/>
        <v>8.8999999999999915</v>
      </c>
      <c r="K80" s="220">
        <f t="shared" si="18"/>
        <v>54.800000000000004</v>
      </c>
      <c r="L80" s="221">
        <f t="shared" si="11"/>
        <v>0.16240875912408742</v>
      </c>
      <c r="M80" s="239"/>
      <c r="N80" s="25">
        <f t="shared" si="19"/>
        <v>0.81204379562043705</v>
      </c>
    </row>
    <row r="81" spans="1:15" customFormat="1" ht="12.75">
      <c r="A81" s="219"/>
      <c r="B81" s="220"/>
      <c r="C81" s="220"/>
      <c r="D81" s="1"/>
      <c r="E81" s="2" t="s">
        <v>403</v>
      </c>
      <c r="F81" s="220" t="s">
        <v>62</v>
      </c>
      <c r="G81" s="220">
        <v>82.7</v>
      </c>
      <c r="H81" s="220">
        <v>75.3</v>
      </c>
      <c r="I81" s="220">
        <v>23.3</v>
      </c>
      <c r="J81" s="220">
        <f t="shared" si="18"/>
        <v>7.4000000000000057</v>
      </c>
      <c r="K81" s="220">
        <f t="shared" si="18"/>
        <v>52</v>
      </c>
      <c r="L81" s="221">
        <f t="shared" si="11"/>
        <v>0.14230769230769241</v>
      </c>
      <c r="M81" s="239"/>
      <c r="N81" s="25">
        <f t="shared" si="19"/>
        <v>0.71153846153846201</v>
      </c>
    </row>
    <row r="82" spans="1:15" customFormat="1" ht="12.75">
      <c r="A82" s="219"/>
      <c r="B82" s="220"/>
      <c r="C82" s="220"/>
      <c r="D82" s="1"/>
      <c r="E82" s="2" t="s">
        <v>404</v>
      </c>
      <c r="F82" s="220" t="s">
        <v>63</v>
      </c>
      <c r="G82" s="220">
        <v>80.900000000000006</v>
      </c>
      <c r="H82" s="220">
        <v>73.900000000000006</v>
      </c>
      <c r="I82" s="220">
        <v>23.6</v>
      </c>
      <c r="J82" s="220">
        <f t="shared" si="18"/>
        <v>7</v>
      </c>
      <c r="K82" s="220">
        <f t="shared" si="18"/>
        <v>50.300000000000004</v>
      </c>
      <c r="L82" s="221">
        <f t="shared" si="11"/>
        <v>0.13916500994035785</v>
      </c>
      <c r="M82" s="239"/>
      <c r="N82" s="25">
        <f t="shared" si="19"/>
        <v>0.69582504970178927</v>
      </c>
    </row>
    <row r="83" spans="1:15" customFormat="1" ht="12.75">
      <c r="A83" s="219"/>
      <c r="B83" s="220"/>
      <c r="C83" s="220"/>
      <c r="D83" s="1"/>
      <c r="E83" s="2" t="s">
        <v>405</v>
      </c>
      <c r="F83" s="220" t="s">
        <v>64</v>
      </c>
      <c r="G83" s="220">
        <v>104.9</v>
      </c>
      <c r="H83" s="220">
        <v>87.3</v>
      </c>
      <c r="I83" s="220">
        <v>24.1</v>
      </c>
      <c r="J83" s="220">
        <f t="shared" si="18"/>
        <v>17.600000000000009</v>
      </c>
      <c r="K83" s="220">
        <f t="shared" si="18"/>
        <v>63.199999999999996</v>
      </c>
      <c r="L83" s="221">
        <f t="shared" si="11"/>
        <v>0.278481012658228</v>
      </c>
      <c r="M83" s="239"/>
      <c r="N83" s="25">
        <f t="shared" si="19"/>
        <v>1.39240506329114</v>
      </c>
    </row>
    <row r="84" spans="1:15" customFormat="1" ht="12.75">
      <c r="A84" s="219"/>
      <c r="B84" s="220"/>
      <c r="C84" s="220"/>
      <c r="D84" s="1"/>
      <c r="E84" s="2" t="s">
        <v>406</v>
      </c>
      <c r="F84" s="220" t="s">
        <v>65</v>
      </c>
      <c r="G84" s="220">
        <v>97.8</v>
      </c>
      <c r="H84" s="220">
        <v>81.8</v>
      </c>
      <c r="I84" s="220">
        <v>23.9</v>
      </c>
      <c r="J84" s="220">
        <f t="shared" si="18"/>
        <v>16</v>
      </c>
      <c r="K84" s="220">
        <f t="shared" si="18"/>
        <v>57.9</v>
      </c>
      <c r="L84" s="221">
        <f t="shared" si="11"/>
        <v>0.27633851468048359</v>
      </c>
      <c r="M84" s="239"/>
      <c r="N84" s="25">
        <f t="shared" si="19"/>
        <v>1.3816925734024179</v>
      </c>
    </row>
    <row r="85" spans="1:15" customFormat="1" ht="12.75">
      <c r="A85" s="219"/>
      <c r="B85" s="220"/>
      <c r="C85" s="220"/>
      <c r="D85" s="1"/>
      <c r="E85" s="2" t="s">
        <v>407</v>
      </c>
      <c r="F85" s="220" t="s">
        <v>66</v>
      </c>
      <c r="G85" s="220">
        <v>93</v>
      </c>
      <c r="H85" s="220">
        <v>77.8</v>
      </c>
      <c r="I85" s="220">
        <v>23.1</v>
      </c>
      <c r="J85" s="220">
        <f t="shared" si="18"/>
        <v>15.200000000000003</v>
      </c>
      <c r="K85" s="220">
        <f t="shared" si="18"/>
        <v>54.699999999999996</v>
      </c>
      <c r="L85" s="221">
        <f t="shared" si="11"/>
        <v>0.27787934186471669</v>
      </c>
      <c r="M85" s="239"/>
      <c r="N85" s="25">
        <f t="shared" si="19"/>
        <v>1.3893967093235833</v>
      </c>
    </row>
    <row r="86" spans="1:15" customFormat="1" ht="12.75">
      <c r="A86" s="247"/>
      <c r="B86" s="248"/>
      <c r="C86" s="248"/>
      <c r="D86" s="249"/>
      <c r="E86" s="250" t="s">
        <v>325</v>
      </c>
      <c r="F86" s="248" t="s">
        <v>67</v>
      </c>
      <c r="G86" s="248">
        <v>107.5</v>
      </c>
      <c r="H86" s="248">
        <v>89.6</v>
      </c>
      <c r="I86" s="248">
        <v>23.5</v>
      </c>
      <c r="J86" s="248">
        <f t="shared" si="18"/>
        <v>17.900000000000006</v>
      </c>
      <c r="K86" s="248">
        <f t="shared" si="18"/>
        <v>66.099999999999994</v>
      </c>
      <c r="L86" s="258">
        <f t="shared" si="11"/>
        <v>0.27080181543116499</v>
      </c>
      <c r="M86" s="259"/>
      <c r="N86" s="25">
        <f t="shared" si="19"/>
        <v>1.3540090771558249</v>
      </c>
    </row>
    <row r="87" spans="1:15" customFormat="1" ht="12.75">
      <c r="A87" s="212" t="s">
        <v>72</v>
      </c>
      <c r="B87" s="220">
        <v>3</v>
      </c>
      <c r="C87" s="220">
        <v>1</v>
      </c>
      <c r="D87" s="1"/>
      <c r="E87" s="2" t="s">
        <v>408</v>
      </c>
      <c r="F87" s="240" t="s">
        <v>59</v>
      </c>
      <c r="G87" s="223">
        <v>68.2</v>
      </c>
      <c r="H87" s="223">
        <v>65</v>
      </c>
      <c r="I87" s="223">
        <v>23.1</v>
      </c>
      <c r="J87" s="223">
        <f t="shared" si="18"/>
        <v>3.2000000000000028</v>
      </c>
      <c r="K87" s="223">
        <f t="shared" si="18"/>
        <v>41.9</v>
      </c>
      <c r="L87" s="241">
        <f t="shared" si="11"/>
        <v>7.6372315035799596E-2</v>
      </c>
      <c r="M87" s="242"/>
      <c r="N87" s="243">
        <f>L87/0.2</f>
        <v>0.38186157517899794</v>
      </c>
      <c r="O87" s="244"/>
    </row>
    <row r="88" spans="1:15" customFormat="1" ht="12.75">
      <c r="A88" s="219"/>
      <c r="B88" s="220"/>
      <c r="C88" s="220"/>
      <c r="D88" s="1"/>
      <c r="E88" s="2" t="s">
        <v>409</v>
      </c>
      <c r="F88" s="240" t="s">
        <v>262</v>
      </c>
      <c r="G88" s="223">
        <v>68.2</v>
      </c>
      <c r="H88" s="223">
        <v>65.099999999999994</v>
      </c>
      <c r="I88" s="223">
        <v>24.3</v>
      </c>
      <c r="J88" s="223">
        <f t="shared" si="18"/>
        <v>3.1000000000000085</v>
      </c>
      <c r="K88" s="223">
        <f t="shared" si="18"/>
        <v>40.799999999999997</v>
      </c>
      <c r="L88" s="241">
        <f t="shared" si="11"/>
        <v>7.5980392156862961E-2</v>
      </c>
      <c r="M88" s="242"/>
      <c r="N88" s="243">
        <f t="shared" ref="N88:N96" si="20">L88/0.2</f>
        <v>0.37990196078431476</v>
      </c>
      <c r="O88" s="244"/>
    </row>
    <row r="89" spans="1:15" customFormat="1" ht="12.75">
      <c r="A89" s="219"/>
      <c r="B89" s="220"/>
      <c r="C89" s="220"/>
      <c r="D89" s="1"/>
      <c r="E89" s="2" t="s">
        <v>410</v>
      </c>
      <c r="F89" s="2" t="s">
        <v>60</v>
      </c>
      <c r="G89" s="220">
        <v>66.400000000000006</v>
      </c>
      <c r="H89" s="220">
        <v>62.3</v>
      </c>
      <c r="I89" s="220">
        <v>27.3</v>
      </c>
      <c r="J89" s="220">
        <f t="shared" si="18"/>
        <v>4.1000000000000085</v>
      </c>
      <c r="K89" s="220">
        <f t="shared" si="18"/>
        <v>35</v>
      </c>
      <c r="L89" s="221">
        <f t="shared" si="11"/>
        <v>0.11714285714285738</v>
      </c>
      <c r="M89" s="239"/>
      <c r="N89" s="25">
        <f t="shared" si="20"/>
        <v>0.58571428571428685</v>
      </c>
    </row>
    <row r="90" spans="1:15" customFormat="1" ht="12.75">
      <c r="A90" s="219"/>
      <c r="B90" s="220"/>
      <c r="C90" s="220" t="s">
        <v>360</v>
      </c>
      <c r="D90" s="1"/>
      <c r="E90" s="2" t="s">
        <v>411</v>
      </c>
      <c r="F90" s="2" t="s">
        <v>61</v>
      </c>
      <c r="G90" s="220">
        <v>94.2</v>
      </c>
      <c r="H90" s="220">
        <v>86.3</v>
      </c>
      <c r="I90" s="220">
        <v>23.7</v>
      </c>
      <c r="J90" s="220">
        <f t="shared" si="18"/>
        <v>7.9000000000000057</v>
      </c>
      <c r="K90" s="220">
        <f>H90-I90</f>
        <v>62.599999999999994</v>
      </c>
      <c r="L90" s="221">
        <f>J90/K90</f>
        <v>0.12619808306709276</v>
      </c>
      <c r="M90" s="239"/>
      <c r="N90" s="25">
        <f>L90/0.2</f>
        <v>0.63099041533546374</v>
      </c>
    </row>
    <row r="91" spans="1:15" customFormat="1" ht="12.75">
      <c r="A91" s="219"/>
      <c r="B91" s="220"/>
      <c r="C91" s="220"/>
      <c r="D91" s="1"/>
      <c r="E91" s="2" t="s">
        <v>259</v>
      </c>
      <c r="F91" s="220" t="s">
        <v>62</v>
      </c>
      <c r="G91" s="220">
        <v>96.9</v>
      </c>
      <c r="H91" s="220">
        <v>89.2</v>
      </c>
      <c r="I91" s="220">
        <v>29.2</v>
      </c>
      <c r="J91" s="220">
        <f t="shared" si="18"/>
        <v>7.7000000000000028</v>
      </c>
      <c r="K91" s="220">
        <f t="shared" si="18"/>
        <v>60</v>
      </c>
      <c r="L91" s="221">
        <f t="shared" si="11"/>
        <v>0.12833333333333338</v>
      </c>
      <c r="M91" s="239"/>
      <c r="N91" s="25">
        <f t="shared" si="20"/>
        <v>0.64166666666666683</v>
      </c>
    </row>
    <row r="92" spans="1:15" customFormat="1" ht="12.75">
      <c r="A92" s="219"/>
      <c r="B92" s="220"/>
      <c r="C92" s="220"/>
      <c r="D92" s="1"/>
      <c r="E92" s="2" t="s">
        <v>412</v>
      </c>
      <c r="F92" s="220" t="s">
        <v>63</v>
      </c>
      <c r="G92" s="220">
        <v>93.7</v>
      </c>
      <c r="H92" s="220">
        <v>80.7</v>
      </c>
      <c r="I92" s="220">
        <v>23.7</v>
      </c>
      <c r="J92" s="220">
        <f t="shared" si="18"/>
        <v>13</v>
      </c>
      <c r="K92" s="220">
        <f t="shared" si="18"/>
        <v>57</v>
      </c>
      <c r="L92" s="221">
        <f t="shared" si="11"/>
        <v>0.22807017543859648</v>
      </c>
      <c r="M92" s="239"/>
      <c r="N92" s="25">
        <f t="shared" si="20"/>
        <v>1.1403508771929822</v>
      </c>
    </row>
    <row r="93" spans="1:15" customFormat="1" ht="12.75">
      <c r="A93" s="219"/>
      <c r="B93" s="220"/>
      <c r="C93" s="220"/>
      <c r="D93" s="1"/>
      <c r="E93" s="2" t="s">
        <v>413</v>
      </c>
      <c r="F93" s="220" t="s">
        <v>64</v>
      </c>
      <c r="G93" s="220">
        <v>105.8</v>
      </c>
      <c r="H93" s="220">
        <v>89.4</v>
      </c>
      <c r="I93" s="220">
        <v>24.3</v>
      </c>
      <c r="J93" s="220">
        <f t="shared" ref="J93:K96" si="21">G93-H93</f>
        <v>16.399999999999991</v>
      </c>
      <c r="K93" s="220">
        <f t="shared" si="21"/>
        <v>65.100000000000009</v>
      </c>
      <c r="L93" s="221">
        <f t="shared" si="11"/>
        <v>0.25192012288786464</v>
      </c>
      <c r="M93" s="239"/>
      <c r="N93" s="25">
        <f t="shared" si="20"/>
        <v>1.259600614439323</v>
      </c>
    </row>
    <row r="94" spans="1:15" customFormat="1" ht="12.75">
      <c r="A94" s="219"/>
      <c r="B94" s="220"/>
      <c r="C94" s="220"/>
      <c r="D94" s="1"/>
      <c r="E94" s="2" t="s">
        <v>414</v>
      </c>
      <c r="F94" s="220" t="s">
        <v>65</v>
      </c>
      <c r="G94" s="220">
        <v>97.1</v>
      </c>
      <c r="H94" s="220">
        <v>84.3</v>
      </c>
      <c r="I94" s="220">
        <v>21.8</v>
      </c>
      <c r="J94" s="220">
        <f t="shared" si="21"/>
        <v>12.799999999999997</v>
      </c>
      <c r="K94" s="220">
        <f t="shared" si="21"/>
        <v>62.5</v>
      </c>
      <c r="L94" s="221">
        <f t="shared" si="11"/>
        <v>0.20479999999999995</v>
      </c>
      <c r="M94" s="239"/>
      <c r="N94" s="25">
        <f t="shared" si="20"/>
        <v>1.0239999999999998</v>
      </c>
    </row>
    <row r="95" spans="1:15" customFormat="1" ht="12.75">
      <c r="A95" s="219"/>
      <c r="B95" s="220"/>
      <c r="C95" s="220"/>
      <c r="D95" s="1"/>
      <c r="E95" s="2" t="s">
        <v>415</v>
      </c>
      <c r="F95" s="220" t="s">
        <v>66</v>
      </c>
      <c r="G95" s="220">
        <v>99</v>
      </c>
      <c r="H95" s="220">
        <v>86.3</v>
      </c>
      <c r="I95" s="220">
        <v>22.7</v>
      </c>
      <c r="J95" s="220">
        <f t="shared" si="21"/>
        <v>12.700000000000003</v>
      </c>
      <c r="K95" s="220">
        <f t="shared" si="21"/>
        <v>63.599999999999994</v>
      </c>
      <c r="L95" s="221">
        <f t="shared" si="11"/>
        <v>0.19968553459119504</v>
      </c>
      <c r="M95" s="239"/>
      <c r="N95" s="25">
        <f t="shared" si="20"/>
        <v>0.99842767295597512</v>
      </c>
    </row>
    <row r="96" spans="1:15" customFormat="1" ht="12.75">
      <c r="A96" s="247"/>
      <c r="B96" s="248"/>
      <c r="C96" s="248"/>
      <c r="D96" s="249"/>
      <c r="E96" s="250" t="s">
        <v>416</v>
      </c>
      <c r="F96" s="248" t="s">
        <v>67</v>
      </c>
      <c r="G96" s="248">
        <v>91.6</v>
      </c>
      <c r="H96" s="248">
        <v>79.2</v>
      </c>
      <c r="I96" s="248">
        <v>23.6</v>
      </c>
      <c r="J96" s="248">
        <f t="shared" si="21"/>
        <v>12.399999999999991</v>
      </c>
      <c r="K96" s="248">
        <f t="shared" si="21"/>
        <v>55.6</v>
      </c>
      <c r="L96" s="258">
        <f t="shared" si="11"/>
        <v>0.22302158273381278</v>
      </c>
      <c r="M96" s="259"/>
      <c r="N96" s="25">
        <f t="shared" si="20"/>
        <v>1.1151079136690638</v>
      </c>
    </row>
    <row r="97" spans="1:15" customFormat="1" ht="12.75">
      <c r="B97" s="161"/>
      <c r="C97" s="161"/>
      <c r="E97" s="161"/>
      <c r="G97" s="161"/>
    </row>
    <row r="98" spans="1:15" s="161" customFormat="1" ht="12.75">
      <c r="A98" s="32"/>
      <c r="D98"/>
      <c r="F98"/>
      <c r="H98"/>
      <c r="I98"/>
      <c r="J98"/>
      <c r="K98"/>
      <c r="L98"/>
      <c r="M98"/>
      <c r="N98"/>
      <c r="O98"/>
    </row>
    <row r="99" spans="1:15" s="171" customFormat="1">
      <c r="A99" s="169"/>
      <c r="D99" s="168"/>
      <c r="F99" s="168"/>
      <c r="H99" s="168"/>
      <c r="I99" s="168"/>
      <c r="J99" s="168"/>
      <c r="K99" s="168"/>
      <c r="L99" s="168"/>
      <c r="M99" s="168"/>
      <c r="N99" s="168"/>
      <c r="O99" s="168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31"/>
  <sheetViews>
    <sheetView workbookViewId="0">
      <selection activeCell="D5" sqref="D5"/>
    </sheetView>
  </sheetViews>
  <sheetFormatPr defaultRowHeight="15"/>
  <cols>
    <col min="1" max="1" width="10.7109375" style="597" bestFit="1" customWidth="1"/>
    <col min="2" max="3" width="10.7109375" style="597" customWidth="1"/>
    <col min="4" max="5" width="9.140625" style="603"/>
    <col min="6" max="6" width="9.140625" style="597"/>
    <col min="7" max="7" width="16" style="605" customWidth="1"/>
    <col min="8" max="8" width="9.140625" style="611"/>
    <col min="9" max="9" width="9.140625" style="605"/>
    <col min="10" max="10" width="9.140625" style="611"/>
    <col min="11" max="11" width="13.42578125" style="611" customWidth="1"/>
    <col min="12" max="13" width="9.140625" style="611" customWidth="1"/>
    <col min="14" max="14" width="13.85546875" style="611" customWidth="1"/>
    <col min="15" max="15" width="16.140625" style="597" customWidth="1"/>
    <col min="16" max="16384" width="9.140625" style="597"/>
  </cols>
  <sheetData>
    <row r="2" spans="1:15" ht="49.5" customHeight="1">
      <c r="A2" s="595" t="s">
        <v>228</v>
      </c>
      <c r="B2" s="595" t="s">
        <v>596</v>
      </c>
      <c r="C2" s="595" t="s">
        <v>805</v>
      </c>
      <c r="D2" s="595" t="s">
        <v>229</v>
      </c>
      <c r="E2" s="595" t="s">
        <v>230</v>
      </c>
      <c r="F2" s="595" t="s">
        <v>231</v>
      </c>
      <c r="G2" s="596" t="s">
        <v>232</v>
      </c>
      <c r="H2" s="596" t="s">
        <v>233</v>
      </c>
      <c r="I2" s="596" t="s">
        <v>234</v>
      </c>
      <c r="J2" s="596" t="s">
        <v>235</v>
      </c>
      <c r="K2" s="596" t="s">
        <v>236</v>
      </c>
      <c r="L2" s="596" t="s">
        <v>237</v>
      </c>
      <c r="M2" s="596" t="s">
        <v>238</v>
      </c>
      <c r="N2" s="596" t="s">
        <v>239</v>
      </c>
      <c r="O2" s="595" t="s">
        <v>239</v>
      </c>
    </row>
    <row r="3" spans="1:15" ht="49.5" customHeight="1">
      <c r="A3" s="595" t="s">
        <v>13</v>
      </c>
      <c r="B3" s="598"/>
      <c r="C3" s="598"/>
      <c r="D3" s="595" t="s">
        <v>242</v>
      </c>
      <c r="E3" s="595" t="s">
        <v>243</v>
      </c>
      <c r="F3" s="595" t="s">
        <v>244</v>
      </c>
      <c r="G3" s="599" t="s">
        <v>245</v>
      </c>
      <c r="H3" s="600" t="s">
        <v>246</v>
      </c>
      <c r="I3" s="600" t="s">
        <v>247</v>
      </c>
      <c r="J3" s="600" t="s">
        <v>248</v>
      </c>
      <c r="K3" s="600" t="s">
        <v>249</v>
      </c>
      <c r="L3" s="600" t="s">
        <v>250</v>
      </c>
      <c r="M3" s="600" t="s">
        <v>251</v>
      </c>
      <c r="N3" s="596" t="s">
        <v>252</v>
      </c>
      <c r="O3" s="595" t="s">
        <v>255</v>
      </c>
    </row>
    <row r="4" spans="1:15">
      <c r="A4" s="601">
        <v>42314</v>
      </c>
      <c r="B4" s="602">
        <v>1</v>
      </c>
      <c r="C4" s="602">
        <v>1</v>
      </c>
      <c r="D4" s="603">
        <v>1</v>
      </c>
      <c r="E4" s="603">
        <v>1</v>
      </c>
      <c r="G4" s="604" t="s">
        <v>377</v>
      </c>
      <c r="H4" s="605" t="s">
        <v>59</v>
      </c>
      <c r="I4" s="605">
        <v>66.8</v>
      </c>
      <c r="J4" s="605">
        <v>60.7</v>
      </c>
      <c r="K4" s="605">
        <v>23.3</v>
      </c>
      <c r="L4" s="605">
        <f t="shared" ref="L4:M19" si="0">I4-J4</f>
        <v>6.0999999999999943</v>
      </c>
      <c r="M4" s="605">
        <f t="shared" si="0"/>
        <v>37.400000000000006</v>
      </c>
      <c r="N4" s="606">
        <f t="shared" ref="N4:N67" si="1">L4/M4</f>
        <v>0.16310160427807469</v>
      </c>
      <c r="O4" s="607"/>
    </row>
    <row r="5" spans="1:15">
      <c r="B5" s="602"/>
      <c r="C5" s="602"/>
      <c r="G5" s="604" t="s">
        <v>846</v>
      </c>
      <c r="H5" s="604" t="s">
        <v>262</v>
      </c>
      <c r="I5" s="605">
        <v>60.4</v>
      </c>
      <c r="J5" s="605">
        <v>55.2</v>
      </c>
      <c r="K5" s="605">
        <v>21.9</v>
      </c>
      <c r="L5" s="605">
        <f t="shared" si="0"/>
        <v>5.1999999999999957</v>
      </c>
      <c r="M5" s="605">
        <f t="shared" si="0"/>
        <v>33.300000000000004</v>
      </c>
      <c r="N5" s="606">
        <f t="shared" si="1"/>
        <v>0.156156156156156</v>
      </c>
      <c r="O5" s="607"/>
    </row>
    <row r="6" spans="1:15">
      <c r="B6" s="602"/>
      <c r="C6" s="602"/>
      <c r="G6" s="604" t="s">
        <v>847</v>
      </c>
      <c r="H6" s="605" t="s">
        <v>60</v>
      </c>
      <c r="I6" s="605">
        <v>77.900000000000006</v>
      </c>
      <c r="J6" s="605">
        <v>71</v>
      </c>
      <c r="K6" s="605">
        <v>24.5</v>
      </c>
      <c r="L6" s="605">
        <f t="shared" si="0"/>
        <v>6.9000000000000057</v>
      </c>
      <c r="M6" s="605">
        <f t="shared" si="0"/>
        <v>46.5</v>
      </c>
      <c r="N6" s="606">
        <f t="shared" si="1"/>
        <v>0.14838709677419368</v>
      </c>
      <c r="O6" s="607"/>
    </row>
    <row r="7" spans="1:15">
      <c r="B7" s="602"/>
      <c r="C7" s="602"/>
      <c r="G7" s="604" t="s">
        <v>848</v>
      </c>
      <c r="H7" s="605" t="s">
        <v>61</v>
      </c>
      <c r="I7" s="605">
        <v>104.1</v>
      </c>
      <c r="J7" s="605">
        <v>93.7</v>
      </c>
      <c r="K7" s="605">
        <v>25.1</v>
      </c>
      <c r="L7" s="605">
        <f t="shared" si="0"/>
        <v>10.399999999999991</v>
      </c>
      <c r="M7" s="605">
        <f t="shared" si="0"/>
        <v>68.599999999999994</v>
      </c>
      <c r="N7" s="606">
        <f t="shared" si="1"/>
        <v>0.15160349854227395</v>
      </c>
      <c r="O7" s="607"/>
    </row>
    <row r="8" spans="1:15">
      <c r="B8" s="602"/>
      <c r="C8" s="602"/>
      <c r="G8" s="604" t="s">
        <v>849</v>
      </c>
      <c r="H8" s="605" t="s">
        <v>62</v>
      </c>
      <c r="I8" s="605">
        <v>98</v>
      </c>
      <c r="J8" s="605">
        <v>87.2</v>
      </c>
      <c r="K8" s="605">
        <v>23.7</v>
      </c>
      <c r="L8" s="605">
        <f>I8-J8</f>
        <v>10.799999999999997</v>
      </c>
      <c r="M8" s="605">
        <f t="shared" si="0"/>
        <v>63.5</v>
      </c>
      <c r="N8" s="606">
        <f t="shared" si="1"/>
        <v>0.17007874015748026</v>
      </c>
      <c r="O8" s="607"/>
    </row>
    <row r="9" spans="1:15">
      <c r="A9" s="601">
        <v>42314</v>
      </c>
      <c r="B9" s="602">
        <v>2</v>
      </c>
      <c r="C9" s="602">
        <v>2</v>
      </c>
      <c r="D9" s="603">
        <v>1</v>
      </c>
      <c r="E9" s="603">
        <v>1</v>
      </c>
      <c r="G9" s="604" t="s">
        <v>844</v>
      </c>
      <c r="H9" s="605" t="s">
        <v>59</v>
      </c>
      <c r="I9" s="605">
        <v>90.3</v>
      </c>
      <c r="J9" s="605">
        <v>80.400000000000006</v>
      </c>
      <c r="K9" s="605">
        <v>20.7</v>
      </c>
      <c r="L9" s="605">
        <f t="shared" ref="L9:L12" si="2">I9-J9</f>
        <v>9.8999999999999915</v>
      </c>
      <c r="M9" s="605">
        <f t="shared" si="0"/>
        <v>59.7</v>
      </c>
      <c r="N9" s="606">
        <f t="shared" si="1"/>
        <v>0.16582914572864307</v>
      </c>
      <c r="O9" s="607"/>
    </row>
    <row r="10" spans="1:15">
      <c r="B10" s="602"/>
      <c r="C10" s="602"/>
      <c r="G10" s="604" t="s">
        <v>850</v>
      </c>
      <c r="H10" s="604" t="s">
        <v>262</v>
      </c>
      <c r="I10" s="605">
        <v>95.4</v>
      </c>
      <c r="J10" s="605">
        <v>85.1</v>
      </c>
      <c r="K10" s="605">
        <v>23.1</v>
      </c>
      <c r="L10" s="605">
        <f t="shared" si="2"/>
        <v>10.300000000000011</v>
      </c>
      <c r="M10" s="605">
        <f t="shared" si="0"/>
        <v>61.999999999999993</v>
      </c>
      <c r="N10" s="606">
        <f t="shared" si="1"/>
        <v>0.16612903225806472</v>
      </c>
      <c r="O10" s="607"/>
    </row>
    <row r="11" spans="1:15">
      <c r="B11" s="602"/>
      <c r="C11" s="602"/>
      <c r="G11" s="604" t="s">
        <v>375</v>
      </c>
      <c r="H11" s="605" t="s">
        <v>60</v>
      </c>
      <c r="I11" s="605">
        <v>86.5</v>
      </c>
      <c r="J11" s="605">
        <v>78.099999999999994</v>
      </c>
      <c r="K11" s="605">
        <v>24.7</v>
      </c>
      <c r="L11" s="605">
        <f t="shared" si="2"/>
        <v>8.4000000000000057</v>
      </c>
      <c r="M11" s="605">
        <f t="shared" si="0"/>
        <v>53.399999999999991</v>
      </c>
      <c r="N11" s="606">
        <f t="shared" si="1"/>
        <v>0.15730337078651699</v>
      </c>
      <c r="O11" s="607"/>
    </row>
    <row r="12" spans="1:15">
      <c r="B12" s="602"/>
      <c r="C12" s="602"/>
      <c r="G12" s="604" t="s">
        <v>330</v>
      </c>
      <c r="H12" s="605" t="s">
        <v>61</v>
      </c>
      <c r="I12" s="605">
        <v>110.2</v>
      </c>
      <c r="J12" s="605">
        <v>98.3</v>
      </c>
      <c r="K12" s="605">
        <v>25.7</v>
      </c>
      <c r="L12" s="605">
        <f t="shared" si="2"/>
        <v>11.900000000000006</v>
      </c>
      <c r="M12" s="605">
        <f t="shared" si="0"/>
        <v>72.599999999999994</v>
      </c>
      <c r="N12" s="606">
        <f t="shared" si="1"/>
        <v>0.16391184573002765</v>
      </c>
      <c r="O12" s="607"/>
    </row>
    <row r="13" spans="1:15">
      <c r="B13" s="602"/>
      <c r="C13" s="602"/>
      <c r="G13" s="604" t="s">
        <v>851</v>
      </c>
      <c r="H13" s="605" t="s">
        <v>62</v>
      </c>
      <c r="I13" s="605">
        <v>121.4</v>
      </c>
      <c r="J13" s="605">
        <v>106.7</v>
      </c>
      <c r="K13" s="605">
        <v>25.3</v>
      </c>
      <c r="L13" s="605">
        <f>I13-J13</f>
        <v>14.700000000000003</v>
      </c>
      <c r="M13" s="605">
        <f t="shared" si="0"/>
        <v>81.400000000000006</v>
      </c>
      <c r="N13" s="606">
        <f t="shared" si="1"/>
        <v>0.18058968058968061</v>
      </c>
      <c r="O13" s="607"/>
    </row>
    <row r="14" spans="1:15">
      <c r="A14" s="601">
        <v>42314</v>
      </c>
      <c r="B14" s="602">
        <v>3</v>
      </c>
      <c r="C14" s="602">
        <v>3</v>
      </c>
      <c r="D14" s="603">
        <v>1</v>
      </c>
      <c r="E14" s="603">
        <v>1</v>
      </c>
      <c r="G14" s="604" t="s">
        <v>852</v>
      </c>
      <c r="H14" s="605" t="s">
        <v>59</v>
      </c>
      <c r="I14" s="605">
        <v>81.099999999999994</v>
      </c>
      <c r="J14" s="605">
        <v>72.8</v>
      </c>
      <c r="K14" s="605">
        <v>22.4</v>
      </c>
      <c r="L14" s="605">
        <f t="shared" ref="L14:L17" si="3">I14-J14</f>
        <v>8.2999999999999972</v>
      </c>
      <c r="M14" s="605">
        <f t="shared" si="0"/>
        <v>50.4</v>
      </c>
      <c r="N14" s="606">
        <f t="shared" si="1"/>
        <v>0.16468253968253962</v>
      </c>
      <c r="O14" s="607"/>
    </row>
    <row r="15" spans="1:15">
      <c r="B15" s="602"/>
      <c r="C15" s="602"/>
      <c r="G15" s="604" t="s">
        <v>853</v>
      </c>
      <c r="H15" s="604" t="s">
        <v>262</v>
      </c>
      <c r="I15" s="605">
        <v>85.3</v>
      </c>
      <c r="J15" s="605">
        <v>77.599999999999994</v>
      </c>
      <c r="K15" s="605">
        <v>25.8</v>
      </c>
      <c r="L15" s="605">
        <f t="shared" si="3"/>
        <v>7.7000000000000028</v>
      </c>
      <c r="M15" s="605">
        <f t="shared" si="0"/>
        <v>51.8</v>
      </c>
      <c r="N15" s="606">
        <f t="shared" si="1"/>
        <v>0.14864864864864871</v>
      </c>
      <c r="O15" s="607"/>
    </row>
    <row r="16" spans="1:15">
      <c r="B16" s="602"/>
      <c r="C16" s="602"/>
      <c r="G16" s="604" t="s">
        <v>854</v>
      </c>
      <c r="H16" s="605" t="s">
        <v>60</v>
      </c>
      <c r="I16" s="605">
        <v>102.6</v>
      </c>
      <c r="J16" s="605">
        <v>91.4</v>
      </c>
      <c r="K16" s="605">
        <v>21.7</v>
      </c>
      <c r="L16" s="605">
        <f t="shared" si="3"/>
        <v>11.199999999999989</v>
      </c>
      <c r="M16" s="605">
        <f t="shared" si="0"/>
        <v>69.7</v>
      </c>
      <c r="N16" s="606">
        <f t="shared" si="1"/>
        <v>0.16068866571018633</v>
      </c>
      <c r="O16" s="607"/>
    </row>
    <row r="17" spans="1:15">
      <c r="B17" s="602"/>
      <c r="C17" s="602"/>
      <c r="G17" s="604" t="s">
        <v>855</v>
      </c>
      <c r="H17" s="605" t="s">
        <v>61</v>
      </c>
      <c r="I17" s="605">
        <v>86.7</v>
      </c>
      <c r="J17" s="605">
        <v>78.3</v>
      </c>
      <c r="K17" s="605">
        <v>24</v>
      </c>
      <c r="L17" s="605">
        <f t="shared" si="3"/>
        <v>8.4000000000000057</v>
      </c>
      <c r="M17" s="605">
        <f t="shared" si="0"/>
        <v>54.3</v>
      </c>
      <c r="N17" s="606">
        <f t="shared" si="1"/>
        <v>0.15469613259668519</v>
      </c>
      <c r="O17" s="607"/>
    </row>
    <row r="18" spans="1:15">
      <c r="B18" s="602"/>
      <c r="C18" s="602"/>
      <c r="G18" s="604" t="s">
        <v>856</v>
      </c>
      <c r="H18" s="605" t="s">
        <v>62</v>
      </c>
      <c r="I18" s="605">
        <v>92</v>
      </c>
      <c r="J18" s="605">
        <v>80.5</v>
      </c>
      <c r="K18" s="605">
        <v>23.2</v>
      </c>
      <c r="L18" s="605">
        <f>I18-J18</f>
        <v>11.5</v>
      </c>
      <c r="M18" s="605">
        <f t="shared" si="0"/>
        <v>57.3</v>
      </c>
      <c r="N18" s="606">
        <f t="shared" si="1"/>
        <v>0.20069808027923211</v>
      </c>
      <c r="O18" s="607"/>
    </row>
    <row r="19" spans="1:15">
      <c r="A19" s="601">
        <v>42314</v>
      </c>
      <c r="B19" s="602">
        <v>4</v>
      </c>
      <c r="C19" s="602">
        <v>4</v>
      </c>
      <c r="D19" s="603">
        <v>1</v>
      </c>
      <c r="E19" s="603">
        <v>1</v>
      </c>
      <c r="G19" s="604" t="s">
        <v>400</v>
      </c>
      <c r="H19" s="605" t="s">
        <v>59</v>
      </c>
      <c r="I19" s="605">
        <v>81.5</v>
      </c>
      <c r="J19" s="605">
        <v>73.2</v>
      </c>
      <c r="K19" s="605">
        <v>22.5</v>
      </c>
      <c r="L19" s="605">
        <f t="shared" ref="L19:M34" si="4">I19-J19</f>
        <v>8.2999999999999972</v>
      </c>
      <c r="M19" s="605">
        <f t="shared" si="0"/>
        <v>50.7</v>
      </c>
      <c r="N19" s="606">
        <f t="shared" si="1"/>
        <v>0.16370808678500981</v>
      </c>
      <c r="O19" s="607"/>
    </row>
    <row r="20" spans="1:15">
      <c r="B20" s="602"/>
      <c r="C20" s="602"/>
      <c r="G20" s="604" t="s">
        <v>857</v>
      </c>
      <c r="H20" s="604" t="s">
        <v>262</v>
      </c>
      <c r="I20" s="605">
        <v>85.2</v>
      </c>
      <c r="J20" s="605">
        <v>76.900000000000006</v>
      </c>
      <c r="K20" s="605">
        <v>22.7</v>
      </c>
      <c r="L20" s="605">
        <f t="shared" si="4"/>
        <v>8.2999999999999972</v>
      </c>
      <c r="M20" s="605">
        <f t="shared" si="4"/>
        <v>54.2</v>
      </c>
      <c r="N20" s="606">
        <f t="shared" si="1"/>
        <v>0.15313653136531361</v>
      </c>
      <c r="O20" s="607"/>
    </row>
    <row r="21" spans="1:15">
      <c r="B21" s="602"/>
      <c r="C21" s="602"/>
      <c r="G21" s="604" t="s">
        <v>386</v>
      </c>
      <c r="H21" s="605" t="s">
        <v>60</v>
      </c>
      <c r="I21" s="605">
        <v>91.5</v>
      </c>
      <c r="J21" s="605">
        <v>83.3</v>
      </c>
      <c r="K21" s="605">
        <v>29.2</v>
      </c>
      <c r="L21" s="605">
        <f t="shared" si="4"/>
        <v>8.2000000000000028</v>
      </c>
      <c r="M21" s="605">
        <f t="shared" si="4"/>
        <v>54.099999999999994</v>
      </c>
      <c r="N21" s="606">
        <f t="shared" si="1"/>
        <v>0.15157116451016642</v>
      </c>
      <c r="O21" s="607"/>
    </row>
    <row r="22" spans="1:15">
      <c r="B22" s="602"/>
      <c r="C22" s="602"/>
      <c r="G22" s="604" t="s">
        <v>858</v>
      </c>
      <c r="H22" s="605" t="s">
        <v>61</v>
      </c>
      <c r="I22" s="605">
        <v>88.7</v>
      </c>
      <c r="J22" s="605">
        <v>79.400000000000006</v>
      </c>
      <c r="K22" s="605">
        <v>22.8</v>
      </c>
      <c r="L22" s="605">
        <f t="shared" si="4"/>
        <v>9.2999999999999972</v>
      </c>
      <c r="M22" s="605">
        <f t="shared" si="4"/>
        <v>56.600000000000009</v>
      </c>
      <c r="N22" s="606">
        <f t="shared" si="1"/>
        <v>0.16431095406360416</v>
      </c>
      <c r="O22" s="607"/>
    </row>
    <row r="23" spans="1:15">
      <c r="B23" s="602"/>
      <c r="C23" s="602"/>
      <c r="G23" s="604" t="s">
        <v>859</v>
      </c>
      <c r="H23" s="605" t="s">
        <v>62</v>
      </c>
      <c r="I23" s="605">
        <v>103.4</v>
      </c>
      <c r="J23" s="605">
        <v>88.7</v>
      </c>
      <c r="K23" s="605">
        <v>25.6</v>
      </c>
      <c r="L23" s="605">
        <f>I23-J23</f>
        <v>14.700000000000003</v>
      </c>
      <c r="M23" s="605">
        <f t="shared" si="4"/>
        <v>63.1</v>
      </c>
      <c r="N23" s="606">
        <f t="shared" si="1"/>
        <v>0.23296354992076074</v>
      </c>
      <c r="O23" s="607"/>
    </row>
    <row r="24" spans="1:15">
      <c r="A24" s="601">
        <v>42314</v>
      </c>
      <c r="B24" s="602">
        <v>5</v>
      </c>
      <c r="C24" s="602">
        <v>5</v>
      </c>
      <c r="D24" s="603">
        <v>1</v>
      </c>
      <c r="E24" s="603">
        <v>1</v>
      </c>
      <c r="G24" s="604" t="s">
        <v>372</v>
      </c>
      <c r="H24" s="605" t="s">
        <v>59</v>
      </c>
      <c r="I24" s="605">
        <v>77.8</v>
      </c>
      <c r="J24" s="605">
        <v>69.900000000000006</v>
      </c>
      <c r="K24" s="605">
        <v>22.6</v>
      </c>
      <c r="L24" s="605">
        <f t="shared" ref="L24:L27" si="5">I24-J24</f>
        <v>7.8999999999999915</v>
      </c>
      <c r="M24" s="605">
        <f t="shared" si="4"/>
        <v>47.300000000000004</v>
      </c>
      <c r="N24" s="606">
        <f t="shared" si="1"/>
        <v>0.16701902748414357</v>
      </c>
      <c r="O24" s="607"/>
    </row>
    <row r="25" spans="1:15">
      <c r="B25" s="602"/>
      <c r="C25" s="602"/>
      <c r="G25" s="604" t="s">
        <v>282</v>
      </c>
      <c r="H25" s="604" t="s">
        <v>262</v>
      </c>
      <c r="I25" s="605">
        <v>106.6</v>
      </c>
      <c r="J25" s="605">
        <v>96.5</v>
      </c>
      <c r="K25" s="605">
        <v>29.4</v>
      </c>
      <c r="L25" s="605">
        <f t="shared" si="5"/>
        <v>10.099999999999994</v>
      </c>
      <c r="M25" s="605">
        <f t="shared" si="4"/>
        <v>67.099999999999994</v>
      </c>
      <c r="N25" s="606">
        <f t="shared" si="1"/>
        <v>0.15052160953800292</v>
      </c>
      <c r="O25" s="607"/>
    </row>
    <row r="26" spans="1:15">
      <c r="B26" s="602"/>
      <c r="C26" s="602"/>
      <c r="G26" s="604" t="s">
        <v>860</v>
      </c>
      <c r="H26" s="605" t="s">
        <v>60</v>
      </c>
      <c r="I26" s="605">
        <v>90.2</v>
      </c>
      <c r="J26" s="605">
        <v>82.2</v>
      </c>
      <c r="K26" s="605">
        <v>29.4</v>
      </c>
      <c r="L26" s="605">
        <f t="shared" si="5"/>
        <v>8</v>
      </c>
      <c r="M26" s="605">
        <f t="shared" si="4"/>
        <v>52.800000000000004</v>
      </c>
      <c r="N26" s="606">
        <f t="shared" si="1"/>
        <v>0.15151515151515149</v>
      </c>
      <c r="O26" s="607"/>
    </row>
    <row r="27" spans="1:15">
      <c r="B27" s="602"/>
      <c r="C27" s="602"/>
      <c r="G27" s="604" t="s">
        <v>861</v>
      </c>
      <c r="H27" s="605" t="s">
        <v>61</v>
      </c>
      <c r="I27" s="605">
        <v>88.3</v>
      </c>
      <c r="J27" s="605">
        <v>78.900000000000006</v>
      </c>
      <c r="K27" s="605">
        <v>22.5</v>
      </c>
      <c r="L27" s="605">
        <f t="shared" si="5"/>
        <v>9.3999999999999915</v>
      </c>
      <c r="M27" s="605">
        <f t="shared" si="4"/>
        <v>56.400000000000006</v>
      </c>
      <c r="N27" s="606">
        <f t="shared" si="1"/>
        <v>0.16666666666666649</v>
      </c>
      <c r="O27" s="607"/>
    </row>
    <row r="28" spans="1:15">
      <c r="B28" s="602"/>
      <c r="C28" s="602"/>
      <c r="G28" s="604" t="s">
        <v>862</v>
      </c>
      <c r="H28" s="605" t="s">
        <v>62</v>
      </c>
      <c r="I28" s="605">
        <v>102.8</v>
      </c>
      <c r="J28" s="605">
        <v>88.2</v>
      </c>
      <c r="K28" s="605">
        <v>25.7</v>
      </c>
      <c r="L28" s="605">
        <f>I28-J28</f>
        <v>14.599999999999994</v>
      </c>
      <c r="M28" s="605">
        <f t="shared" si="4"/>
        <v>62.5</v>
      </c>
      <c r="N28" s="606">
        <f t="shared" si="1"/>
        <v>0.23359999999999992</v>
      </c>
      <c r="O28" s="607"/>
    </row>
    <row r="29" spans="1:15">
      <c r="A29" s="601">
        <v>42314</v>
      </c>
      <c r="B29" s="602">
        <v>6</v>
      </c>
      <c r="C29" s="602">
        <v>6</v>
      </c>
      <c r="D29" s="603">
        <v>1</v>
      </c>
      <c r="E29" s="603">
        <v>1</v>
      </c>
      <c r="G29" s="604" t="s">
        <v>393</v>
      </c>
      <c r="H29" s="605" t="s">
        <v>59</v>
      </c>
      <c r="I29" s="605">
        <v>79.2</v>
      </c>
      <c r="J29" s="605">
        <v>71.400000000000006</v>
      </c>
      <c r="K29" s="605">
        <v>22.4</v>
      </c>
      <c r="L29" s="605">
        <f t="shared" ref="L29:L32" si="6">I29-J29</f>
        <v>7.7999999999999972</v>
      </c>
      <c r="M29" s="605">
        <f t="shared" si="4"/>
        <v>49.000000000000007</v>
      </c>
      <c r="N29" s="606">
        <f t="shared" si="1"/>
        <v>0.15918367346938767</v>
      </c>
      <c r="O29" s="607"/>
    </row>
    <row r="30" spans="1:15">
      <c r="B30" s="602"/>
      <c r="C30" s="602"/>
      <c r="G30" s="604" t="s">
        <v>374</v>
      </c>
      <c r="H30" s="604" t="s">
        <v>262</v>
      </c>
      <c r="I30" s="605">
        <v>80.5</v>
      </c>
      <c r="J30" s="605">
        <v>73.099999999999994</v>
      </c>
      <c r="K30" s="605">
        <v>25.8</v>
      </c>
      <c r="L30" s="605">
        <f t="shared" si="6"/>
        <v>7.4000000000000057</v>
      </c>
      <c r="M30" s="605">
        <f t="shared" si="4"/>
        <v>47.3</v>
      </c>
      <c r="N30" s="606">
        <f t="shared" si="1"/>
        <v>0.156448202959831</v>
      </c>
      <c r="O30" s="607"/>
    </row>
    <row r="31" spans="1:15">
      <c r="B31" s="602"/>
      <c r="C31" s="602"/>
      <c r="G31" s="604" t="s">
        <v>863</v>
      </c>
      <c r="H31" s="605" t="s">
        <v>60</v>
      </c>
      <c r="I31" s="605">
        <v>90.6</v>
      </c>
      <c r="J31" s="605">
        <v>82.4</v>
      </c>
      <c r="K31" s="605">
        <v>24.7</v>
      </c>
      <c r="L31" s="605">
        <f t="shared" si="6"/>
        <v>8.1999999999999886</v>
      </c>
      <c r="M31" s="605">
        <f t="shared" si="4"/>
        <v>57.7</v>
      </c>
      <c r="N31" s="606">
        <f t="shared" si="1"/>
        <v>0.14211438474869997</v>
      </c>
      <c r="O31" s="607"/>
    </row>
    <row r="32" spans="1:15">
      <c r="B32" s="602"/>
      <c r="C32" s="602"/>
      <c r="G32" s="604" t="s">
        <v>686</v>
      </c>
      <c r="H32" s="605" t="s">
        <v>61</v>
      </c>
      <c r="I32" s="605">
        <v>79.3</v>
      </c>
      <c r="J32" s="605">
        <v>72.3</v>
      </c>
      <c r="K32" s="605">
        <v>22.3</v>
      </c>
      <c r="L32" s="605">
        <f t="shared" si="6"/>
        <v>7</v>
      </c>
      <c r="M32" s="605">
        <f t="shared" si="4"/>
        <v>50</v>
      </c>
      <c r="N32" s="606">
        <f t="shared" si="1"/>
        <v>0.14000000000000001</v>
      </c>
      <c r="O32" s="607"/>
    </row>
    <row r="33" spans="1:15">
      <c r="B33" s="602"/>
      <c r="C33" s="602"/>
      <c r="G33" s="604" t="s">
        <v>864</v>
      </c>
      <c r="H33" s="605" t="s">
        <v>62</v>
      </c>
      <c r="I33" s="605">
        <v>97</v>
      </c>
      <c r="J33" s="605">
        <v>86.1</v>
      </c>
      <c r="K33" s="605">
        <v>23.7</v>
      </c>
      <c r="L33" s="605">
        <f>I33-J33</f>
        <v>10.900000000000006</v>
      </c>
      <c r="M33" s="605">
        <f t="shared" si="4"/>
        <v>62.399999999999991</v>
      </c>
      <c r="N33" s="606">
        <f t="shared" si="1"/>
        <v>0.17467948717948731</v>
      </c>
      <c r="O33" s="607"/>
    </row>
    <row r="34" spans="1:15">
      <c r="A34" s="601">
        <v>42314</v>
      </c>
      <c r="B34" s="602">
        <v>7</v>
      </c>
      <c r="C34" s="602">
        <v>12</v>
      </c>
      <c r="D34" s="603">
        <v>1</v>
      </c>
      <c r="E34" s="603">
        <v>1</v>
      </c>
      <c r="G34" s="604" t="s">
        <v>413</v>
      </c>
      <c r="H34" s="605" t="s">
        <v>59</v>
      </c>
      <c r="I34" s="605">
        <v>85.4</v>
      </c>
      <c r="J34" s="605">
        <v>77.5</v>
      </c>
      <c r="K34" s="605">
        <v>24.3</v>
      </c>
      <c r="L34" s="605">
        <f t="shared" ref="L34:M49" si="7">I34-J34</f>
        <v>7.9000000000000057</v>
      </c>
      <c r="M34" s="605">
        <f t="shared" si="4"/>
        <v>53.2</v>
      </c>
      <c r="N34" s="606">
        <f t="shared" si="1"/>
        <v>0.14849624060150385</v>
      </c>
      <c r="O34" s="607"/>
    </row>
    <row r="35" spans="1:15">
      <c r="B35" s="602"/>
      <c r="C35" s="602"/>
      <c r="G35" s="604" t="s">
        <v>408</v>
      </c>
      <c r="H35" s="604" t="s">
        <v>262</v>
      </c>
      <c r="I35" s="605">
        <v>81.3</v>
      </c>
      <c r="J35" s="605">
        <v>74.2</v>
      </c>
      <c r="K35" s="605">
        <v>23.1</v>
      </c>
      <c r="L35" s="605">
        <f t="shared" si="7"/>
        <v>7.0999999999999943</v>
      </c>
      <c r="M35" s="605">
        <f t="shared" si="7"/>
        <v>51.1</v>
      </c>
      <c r="N35" s="606">
        <f t="shared" si="1"/>
        <v>0.13894324853228951</v>
      </c>
      <c r="O35" s="607"/>
    </row>
    <row r="36" spans="1:15">
      <c r="B36" s="602"/>
      <c r="C36" s="602"/>
      <c r="G36" s="604" t="s">
        <v>865</v>
      </c>
      <c r="H36" s="605" t="s">
        <v>60</v>
      </c>
      <c r="I36" s="605">
        <v>84.9</v>
      </c>
      <c r="J36" s="605">
        <v>77.7</v>
      </c>
      <c r="K36" s="605">
        <v>24.8</v>
      </c>
      <c r="L36" s="605">
        <f t="shared" si="7"/>
        <v>7.2000000000000028</v>
      </c>
      <c r="M36" s="605">
        <f t="shared" si="7"/>
        <v>52.900000000000006</v>
      </c>
      <c r="N36" s="606">
        <f>L36/M36</f>
        <v>0.1361058601134216</v>
      </c>
      <c r="O36" s="607"/>
    </row>
    <row r="37" spans="1:15">
      <c r="B37" s="602"/>
      <c r="C37" s="602"/>
      <c r="G37" s="604" t="s">
        <v>402</v>
      </c>
      <c r="H37" s="605" t="s">
        <v>61</v>
      </c>
      <c r="I37" s="605">
        <v>89.4</v>
      </c>
      <c r="J37" s="605">
        <v>80.900000000000006</v>
      </c>
      <c r="K37" s="605">
        <v>22.6</v>
      </c>
      <c r="L37" s="605">
        <f t="shared" si="7"/>
        <v>8.5</v>
      </c>
      <c r="M37" s="605">
        <f t="shared" si="7"/>
        <v>58.300000000000004</v>
      </c>
      <c r="N37" s="606">
        <f t="shared" si="1"/>
        <v>0.14579759862778729</v>
      </c>
      <c r="O37" s="607"/>
    </row>
    <row r="38" spans="1:15">
      <c r="B38" s="602"/>
      <c r="C38" s="602"/>
      <c r="G38" s="604" t="s">
        <v>379</v>
      </c>
      <c r="H38" s="605" t="s">
        <v>62</v>
      </c>
      <c r="I38" s="605">
        <v>91.1</v>
      </c>
      <c r="J38" s="605">
        <v>81</v>
      </c>
      <c r="K38" s="605">
        <v>22.3</v>
      </c>
      <c r="L38" s="605">
        <f>I38-J38</f>
        <v>10.099999999999994</v>
      </c>
      <c r="M38" s="605">
        <f t="shared" si="7"/>
        <v>58.7</v>
      </c>
      <c r="N38" s="606">
        <f t="shared" si="1"/>
        <v>0.17206132879045985</v>
      </c>
      <c r="O38" s="607"/>
    </row>
    <row r="39" spans="1:15">
      <c r="A39" s="601">
        <v>42314</v>
      </c>
      <c r="B39" s="602">
        <v>8</v>
      </c>
      <c r="C39" s="602">
        <v>11</v>
      </c>
      <c r="D39" s="603">
        <v>1</v>
      </c>
      <c r="E39" s="603">
        <v>1</v>
      </c>
      <c r="G39" s="604" t="s">
        <v>381</v>
      </c>
      <c r="H39" s="605" t="s">
        <v>59</v>
      </c>
      <c r="I39" s="605">
        <v>91.3</v>
      </c>
      <c r="J39" s="605">
        <v>81.400000000000006</v>
      </c>
      <c r="K39" s="605">
        <v>22.5</v>
      </c>
      <c r="L39" s="605">
        <f t="shared" ref="L39:L42" si="8">I39-J39</f>
        <v>9.8999999999999915</v>
      </c>
      <c r="M39" s="605">
        <f t="shared" si="7"/>
        <v>58.900000000000006</v>
      </c>
      <c r="N39" s="606">
        <f t="shared" si="1"/>
        <v>0.1680814940577248</v>
      </c>
      <c r="O39" s="607"/>
    </row>
    <row r="40" spans="1:15" ht="15.75" customHeight="1">
      <c r="B40" s="602"/>
      <c r="C40" s="602"/>
      <c r="G40" s="604" t="s">
        <v>388</v>
      </c>
      <c r="H40" s="604" t="s">
        <v>262</v>
      </c>
      <c r="I40" s="605">
        <v>78.900000000000006</v>
      </c>
      <c r="J40" s="605">
        <v>71</v>
      </c>
      <c r="K40" s="605">
        <v>22.6</v>
      </c>
      <c r="L40" s="605">
        <f t="shared" si="8"/>
        <v>7.9000000000000057</v>
      </c>
      <c r="M40" s="605">
        <f t="shared" si="7"/>
        <v>48.4</v>
      </c>
      <c r="N40" s="606">
        <f t="shared" si="1"/>
        <v>0.16322314049586789</v>
      </c>
      <c r="O40" s="607"/>
    </row>
    <row r="41" spans="1:15" ht="15.75" customHeight="1">
      <c r="B41" s="602"/>
      <c r="C41" s="602"/>
      <c r="G41" s="604" t="s">
        <v>321</v>
      </c>
      <c r="H41" s="605" t="s">
        <v>60</v>
      </c>
      <c r="I41" s="605">
        <v>87.2</v>
      </c>
      <c r="J41" s="605">
        <v>78.3</v>
      </c>
      <c r="K41" s="605">
        <v>22.5</v>
      </c>
      <c r="L41" s="605">
        <f t="shared" si="8"/>
        <v>8.9000000000000057</v>
      </c>
      <c r="M41" s="605">
        <f t="shared" si="7"/>
        <v>55.8</v>
      </c>
      <c r="N41" s="606">
        <f t="shared" si="1"/>
        <v>0.15949820788530478</v>
      </c>
      <c r="O41" s="607"/>
    </row>
    <row r="42" spans="1:15">
      <c r="B42" s="602"/>
      <c r="C42" s="602"/>
      <c r="G42" s="604" t="s">
        <v>866</v>
      </c>
      <c r="H42" s="605" t="s">
        <v>61</v>
      </c>
      <c r="I42" s="605">
        <v>78.400000000000006</v>
      </c>
      <c r="J42" s="605">
        <v>70.900000000000006</v>
      </c>
      <c r="K42" s="605">
        <v>22.8</v>
      </c>
      <c r="L42" s="605">
        <f t="shared" si="8"/>
        <v>7.5</v>
      </c>
      <c r="M42" s="605">
        <f t="shared" si="7"/>
        <v>48.100000000000009</v>
      </c>
      <c r="N42" s="606">
        <f t="shared" si="1"/>
        <v>0.15592515592515591</v>
      </c>
      <c r="O42" s="607"/>
    </row>
    <row r="43" spans="1:15">
      <c r="B43" s="602"/>
      <c r="C43" s="602"/>
      <c r="G43" s="604" t="s">
        <v>867</v>
      </c>
      <c r="H43" s="605" t="s">
        <v>62</v>
      </c>
      <c r="I43" s="605">
        <v>90.6</v>
      </c>
      <c r="J43" s="605">
        <v>80.8</v>
      </c>
      <c r="K43" s="605">
        <v>25.4</v>
      </c>
      <c r="L43" s="605">
        <f>I43-J43</f>
        <v>9.7999999999999972</v>
      </c>
      <c r="M43" s="605">
        <f t="shared" si="7"/>
        <v>55.4</v>
      </c>
      <c r="N43" s="606">
        <f t="shared" si="1"/>
        <v>0.17689530685920574</v>
      </c>
      <c r="O43" s="607"/>
    </row>
    <row r="44" spans="1:15">
      <c r="A44" s="601">
        <v>42314</v>
      </c>
      <c r="B44" s="602">
        <v>9</v>
      </c>
      <c r="C44" s="602">
        <v>10</v>
      </c>
      <c r="D44" s="603">
        <v>1</v>
      </c>
      <c r="E44" s="603">
        <v>1</v>
      </c>
      <c r="G44" s="604" t="s">
        <v>868</v>
      </c>
      <c r="H44" s="605" t="s">
        <v>59</v>
      </c>
      <c r="I44" s="605">
        <v>87.3</v>
      </c>
      <c r="J44" s="605">
        <v>78</v>
      </c>
      <c r="K44" s="605">
        <v>22.9</v>
      </c>
      <c r="L44" s="605">
        <f t="shared" ref="L44:L47" si="9">I44-J44</f>
        <v>9.2999999999999972</v>
      </c>
      <c r="M44" s="605">
        <f t="shared" si="7"/>
        <v>55.1</v>
      </c>
      <c r="N44" s="606">
        <f t="shared" si="1"/>
        <v>0.16878402903811246</v>
      </c>
      <c r="O44" s="607"/>
    </row>
    <row r="45" spans="1:15">
      <c r="B45" s="602"/>
      <c r="C45" s="602"/>
      <c r="G45" s="608" t="s">
        <v>396</v>
      </c>
      <c r="H45" s="608" t="s">
        <v>262</v>
      </c>
      <c r="I45" s="609">
        <v>88.3</v>
      </c>
      <c r="J45" s="609">
        <v>79.400000000000006</v>
      </c>
      <c r="K45" s="609">
        <v>24.3</v>
      </c>
      <c r="L45" s="609">
        <f t="shared" si="9"/>
        <v>8.8999999999999915</v>
      </c>
      <c r="M45" s="609">
        <f t="shared" si="7"/>
        <v>55.100000000000009</v>
      </c>
      <c r="N45" s="610">
        <f t="shared" si="1"/>
        <v>0.16152450090744083</v>
      </c>
      <c r="O45" s="607"/>
    </row>
    <row r="46" spans="1:15">
      <c r="B46" s="602"/>
      <c r="C46" s="602"/>
      <c r="G46" s="604" t="s">
        <v>869</v>
      </c>
      <c r="H46" s="605" t="s">
        <v>60</v>
      </c>
      <c r="I46" s="605">
        <v>81.3</v>
      </c>
      <c r="J46" s="605">
        <v>73.2</v>
      </c>
      <c r="K46" s="605">
        <v>20.100000000000001</v>
      </c>
      <c r="L46" s="605">
        <f t="shared" si="9"/>
        <v>8.0999999999999943</v>
      </c>
      <c r="M46" s="605">
        <f t="shared" si="7"/>
        <v>53.1</v>
      </c>
      <c r="N46" s="606">
        <f t="shared" si="1"/>
        <v>0.15254237288135583</v>
      </c>
      <c r="O46" s="607"/>
    </row>
    <row r="47" spans="1:15">
      <c r="B47" s="602"/>
      <c r="C47" s="602"/>
      <c r="G47" s="604" t="s">
        <v>870</v>
      </c>
      <c r="H47" s="605" t="s">
        <v>61</v>
      </c>
      <c r="I47" s="605">
        <v>91.7</v>
      </c>
      <c r="J47" s="605">
        <v>81.7</v>
      </c>
      <c r="K47" s="605">
        <v>22.4</v>
      </c>
      <c r="L47" s="605">
        <f t="shared" si="9"/>
        <v>10</v>
      </c>
      <c r="M47" s="605">
        <f t="shared" si="7"/>
        <v>59.300000000000004</v>
      </c>
      <c r="N47" s="606">
        <f t="shared" si="1"/>
        <v>0.16863406408094433</v>
      </c>
      <c r="O47" s="607"/>
    </row>
    <row r="48" spans="1:15">
      <c r="B48" s="602"/>
      <c r="C48" s="602"/>
      <c r="G48" s="604" t="s">
        <v>871</v>
      </c>
      <c r="H48" s="605" t="s">
        <v>62</v>
      </c>
      <c r="I48" s="605">
        <v>104.7</v>
      </c>
      <c r="J48" s="605">
        <v>88.5</v>
      </c>
      <c r="K48" s="605">
        <v>22.5</v>
      </c>
      <c r="L48" s="605">
        <f>I48-J48</f>
        <v>16.200000000000003</v>
      </c>
      <c r="M48" s="605">
        <f t="shared" si="7"/>
        <v>66</v>
      </c>
      <c r="N48" s="606">
        <f t="shared" si="1"/>
        <v>0.24545454545454551</v>
      </c>
      <c r="O48" s="607"/>
    </row>
    <row r="49" spans="1:15" ht="15.75" customHeight="1">
      <c r="A49" s="601">
        <v>42314</v>
      </c>
      <c r="B49" s="602">
        <v>10</v>
      </c>
      <c r="C49" s="602">
        <v>9</v>
      </c>
      <c r="D49" s="603">
        <v>1</v>
      </c>
      <c r="E49" s="603">
        <v>1</v>
      </c>
      <c r="G49" s="604" t="s">
        <v>872</v>
      </c>
      <c r="H49" s="605" t="s">
        <v>59</v>
      </c>
      <c r="I49" s="605">
        <v>79.900000000000006</v>
      </c>
      <c r="J49" s="605">
        <v>71.8</v>
      </c>
      <c r="K49" s="605">
        <v>22.1</v>
      </c>
      <c r="L49" s="605">
        <f t="shared" ref="L49:M64" si="10">I49-J49</f>
        <v>8.1000000000000085</v>
      </c>
      <c r="M49" s="605">
        <f t="shared" si="7"/>
        <v>49.699999999999996</v>
      </c>
      <c r="N49" s="606">
        <f t="shared" si="1"/>
        <v>0.1629778672032195</v>
      </c>
      <c r="O49" s="607"/>
    </row>
    <row r="50" spans="1:15">
      <c r="B50" s="602"/>
      <c r="C50" s="602"/>
      <c r="G50" s="604" t="s">
        <v>404</v>
      </c>
      <c r="H50" s="604" t="s">
        <v>262</v>
      </c>
      <c r="I50" s="605">
        <v>101.1</v>
      </c>
      <c r="J50" s="605">
        <v>90.3</v>
      </c>
      <c r="K50" s="605">
        <v>23.7</v>
      </c>
      <c r="L50" s="605">
        <f t="shared" si="10"/>
        <v>10.799999999999997</v>
      </c>
      <c r="M50" s="605">
        <f t="shared" si="10"/>
        <v>66.599999999999994</v>
      </c>
      <c r="N50" s="606">
        <f t="shared" si="1"/>
        <v>0.16216216216216214</v>
      </c>
      <c r="O50" s="607"/>
    </row>
    <row r="51" spans="1:15">
      <c r="B51" s="602"/>
      <c r="C51" s="602"/>
      <c r="G51" s="604" t="s">
        <v>873</v>
      </c>
      <c r="H51" s="605" t="s">
        <v>60</v>
      </c>
      <c r="I51" s="605">
        <v>89.7</v>
      </c>
      <c r="J51" s="605">
        <v>80</v>
      </c>
      <c r="K51" s="605">
        <v>22</v>
      </c>
      <c r="L51" s="605">
        <f t="shared" si="10"/>
        <v>9.7000000000000028</v>
      </c>
      <c r="M51" s="605">
        <f t="shared" si="10"/>
        <v>58</v>
      </c>
      <c r="N51" s="606">
        <f t="shared" si="1"/>
        <v>0.16724137931034488</v>
      </c>
      <c r="O51" s="607"/>
    </row>
    <row r="52" spans="1:15">
      <c r="B52" s="602"/>
      <c r="C52" s="602"/>
      <c r="G52" s="604" t="s">
        <v>874</v>
      </c>
      <c r="H52" s="605" t="s">
        <v>61</v>
      </c>
      <c r="I52" s="605">
        <v>100.2</v>
      </c>
      <c r="J52" s="605">
        <v>91.1</v>
      </c>
      <c r="K52" s="605">
        <v>25.8</v>
      </c>
      <c r="L52" s="605">
        <f t="shared" si="10"/>
        <v>9.1000000000000085</v>
      </c>
      <c r="M52" s="605">
        <f t="shared" si="10"/>
        <v>65.3</v>
      </c>
      <c r="N52" s="606">
        <f t="shared" si="1"/>
        <v>0.1393568147013784</v>
      </c>
      <c r="O52" s="607"/>
    </row>
    <row r="53" spans="1:15">
      <c r="B53" s="602"/>
      <c r="C53" s="602"/>
      <c r="G53" s="604" t="s">
        <v>416</v>
      </c>
      <c r="H53" s="605" t="s">
        <v>62</v>
      </c>
      <c r="I53" s="605">
        <v>82.4</v>
      </c>
      <c r="J53" s="605">
        <v>75.099999999999994</v>
      </c>
      <c r="K53" s="605">
        <v>21.1</v>
      </c>
      <c r="L53" s="605">
        <f>I53-J53</f>
        <v>7.3000000000000114</v>
      </c>
      <c r="M53" s="605">
        <f t="shared" si="10"/>
        <v>53.999999999999993</v>
      </c>
      <c r="N53" s="606">
        <f t="shared" si="1"/>
        <v>0.13518518518518541</v>
      </c>
      <c r="O53" s="607"/>
    </row>
    <row r="54" spans="1:15">
      <c r="A54" s="601">
        <v>42314</v>
      </c>
      <c r="B54" s="602">
        <v>11</v>
      </c>
      <c r="C54" s="602">
        <v>8</v>
      </c>
      <c r="D54" s="603">
        <v>1</v>
      </c>
      <c r="E54" s="603">
        <v>1</v>
      </c>
      <c r="G54" s="604" t="s">
        <v>875</v>
      </c>
      <c r="H54" s="605" t="s">
        <v>59</v>
      </c>
      <c r="I54" s="605">
        <v>77.8</v>
      </c>
      <c r="J54" s="605">
        <v>70.400000000000006</v>
      </c>
      <c r="K54" s="605">
        <v>22.4</v>
      </c>
      <c r="L54" s="605">
        <f t="shared" ref="L54:L57" si="11">I54-J54</f>
        <v>7.3999999999999915</v>
      </c>
      <c r="M54" s="605">
        <f t="shared" si="10"/>
        <v>48.000000000000007</v>
      </c>
      <c r="N54" s="606">
        <f t="shared" si="1"/>
        <v>0.15416666666666648</v>
      </c>
      <c r="O54" s="607"/>
    </row>
    <row r="55" spans="1:15">
      <c r="B55" s="602"/>
      <c r="C55" s="602"/>
      <c r="G55" s="604" t="s">
        <v>383</v>
      </c>
      <c r="H55" s="604" t="s">
        <v>262</v>
      </c>
      <c r="I55" s="605">
        <v>74.900000000000006</v>
      </c>
      <c r="J55" s="605">
        <v>68.400000000000006</v>
      </c>
      <c r="K55" s="605">
        <v>22.1</v>
      </c>
      <c r="L55" s="605">
        <f t="shared" si="11"/>
        <v>6.5</v>
      </c>
      <c r="M55" s="605">
        <f t="shared" si="10"/>
        <v>46.300000000000004</v>
      </c>
      <c r="N55" s="606">
        <f t="shared" si="1"/>
        <v>0.14038876889848811</v>
      </c>
      <c r="O55" s="607"/>
    </row>
    <row r="56" spans="1:15">
      <c r="B56" s="602"/>
      <c r="C56" s="602"/>
      <c r="G56" s="604" t="s">
        <v>403</v>
      </c>
      <c r="H56" s="605" t="s">
        <v>60</v>
      </c>
      <c r="I56" s="605">
        <v>98.6</v>
      </c>
      <c r="J56" s="605">
        <v>88.9</v>
      </c>
      <c r="K56" s="605">
        <v>23.3</v>
      </c>
      <c r="L56" s="605">
        <f t="shared" si="11"/>
        <v>9.6999999999999886</v>
      </c>
      <c r="M56" s="605">
        <f t="shared" si="10"/>
        <v>65.600000000000009</v>
      </c>
      <c r="N56" s="606">
        <f t="shared" si="1"/>
        <v>0.14786585365853638</v>
      </c>
      <c r="O56" s="607"/>
    </row>
    <row r="57" spans="1:15" ht="15.75" customHeight="1">
      <c r="B57" s="602"/>
      <c r="C57" s="602"/>
      <c r="G57" s="604" t="s">
        <v>552</v>
      </c>
      <c r="H57" s="605" t="s">
        <v>61</v>
      </c>
      <c r="I57" s="605">
        <v>99.7</v>
      </c>
      <c r="J57" s="605">
        <v>89.7</v>
      </c>
      <c r="K57" s="605">
        <v>23.5</v>
      </c>
      <c r="L57" s="605">
        <f t="shared" si="11"/>
        <v>10</v>
      </c>
      <c r="M57" s="605">
        <f t="shared" si="10"/>
        <v>66.2</v>
      </c>
      <c r="N57" s="606">
        <f t="shared" si="1"/>
        <v>0.15105740181268881</v>
      </c>
      <c r="O57" s="607"/>
    </row>
    <row r="58" spans="1:15">
      <c r="B58" s="602"/>
      <c r="C58" s="602"/>
      <c r="G58" s="604" t="s">
        <v>876</v>
      </c>
      <c r="H58" s="605" t="s">
        <v>62</v>
      </c>
      <c r="I58" s="605">
        <v>83.8</v>
      </c>
      <c r="J58" s="605">
        <v>75.7</v>
      </c>
      <c r="K58" s="605">
        <v>21.4</v>
      </c>
      <c r="L58" s="605">
        <f>I58-J58</f>
        <v>8.0999999999999943</v>
      </c>
      <c r="M58" s="605">
        <f t="shared" si="10"/>
        <v>54.300000000000004</v>
      </c>
      <c r="N58" s="606">
        <f t="shared" si="1"/>
        <v>0.14917127071823194</v>
      </c>
      <c r="O58" s="607"/>
    </row>
    <row r="59" spans="1:15">
      <c r="A59" s="601">
        <v>42314</v>
      </c>
      <c r="B59" s="602">
        <v>12</v>
      </c>
      <c r="C59" s="602">
        <v>7</v>
      </c>
      <c r="D59" s="603">
        <v>1</v>
      </c>
      <c r="E59" s="603">
        <v>1</v>
      </c>
      <c r="G59" s="604" t="s">
        <v>259</v>
      </c>
      <c r="H59" s="605" t="s">
        <v>59</v>
      </c>
      <c r="I59" s="605">
        <v>102.1</v>
      </c>
      <c r="J59" s="605">
        <v>92.2</v>
      </c>
      <c r="K59" s="605">
        <v>29.2</v>
      </c>
      <c r="L59" s="605">
        <f t="shared" ref="L59:L62" si="12">I59-J59</f>
        <v>9.8999999999999915</v>
      </c>
      <c r="M59" s="605">
        <f t="shared" si="10"/>
        <v>63</v>
      </c>
      <c r="N59" s="606">
        <f t="shared" si="1"/>
        <v>0.157142857142857</v>
      </c>
      <c r="O59" s="607"/>
    </row>
    <row r="60" spans="1:15">
      <c r="B60" s="602"/>
      <c r="C60" s="602"/>
      <c r="G60" s="604" t="s">
        <v>376</v>
      </c>
      <c r="H60" s="604" t="s">
        <v>262</v>
      </c>
      <c r="I60" s="605">
        <v>69.099999999999994</v>
      </c>
      <c r="J60" s="605">
        <v>61.4</v>
      </c>
      <c r="K60" s="605">
        <v>13.4</v>
      </c>
      <c r="L60" s="605">
        <f t="shared" si="12"/>
        <v>7.6999999999999957</v>
      </c>
      <c r="M60" s="605">
        <f t="shared" si="10"/>
        <v>48</v>
      </c>
      <c r="N60" s="606">
        <f t="shared" si="1"/>
        <v>0.16041666666666657</v>
      </c>
      <c r="O60" s="607"/>
    </row>
    <row r="61" spans="1:15">
      <c r="B61" s="602"/>
      <c r="C61" s="602"/>
      <c r="G61" s="604" t="s">
        <v>406</v>
      </c>
      <c r="H61" s="605" t="s">
        <v>60</v>
      </c>
      <c r="I61" s="605">
        <v>105.1</v>
      </c>
      <c r="J61" s="605">
        <v>94.4</v>
      </c>
      <c r="K61" s="605">
        <v>23.9</v>
      </c>
      <c r="L61" s="605">
        <f t="shared" si="12"/>
        <v>10.699999999999989</v>
      </c>
      <c r="M61" s="605">
        <f t="shared" si="10"/>
        <v>70.5</v>
      </c>
      <c r="N61" s="606">
        <f t="shared" si="1"/>
        <v>0.1517730496453899</v>
      </c>
      <c r="O61" s="607"/>
    </row>
    <row r="62" spans="1:15">
      <c r="B62" s="602"/>
      <c r="C62" s="602"/>
      <c r="G62" s="604" t="s">
        <v>841</v>
      </c>
      <c r="H62" s="605" t="s">
        <v>61</v>
      </c>
      <c r="I62" s="605">
        <v>97.7</v>
      </c>
      <c r="J62" s="605">
        <v>87.7</v>
      </c>
      <c r="K62" s="605">
        <v>21.6</v>
      </c>
      <c r="L62" s="605">
        <f t="shared" si="12"/>
        <v>10</v>
      </c>
      <c r="M62" s="605">
        <f t="shared" si="10"/>
        <v>66.099999999999994</v>
      </c>
      <c r="N62" s="606">
        <f t="shared" si="1"/>
        <v>0.15128593040847202</v>
      </c>
      <c r="O62" s="607"/>
    </row>
    <row r="63" spans="1:15">
      <c r="B63" s="602"/>
      <c r="C63" s="602"/>
      <c r="G63" s="604" t="s">
        <v>877</v>
      </c>
      <c r="H63" s="605" t="s">
        <v>62</v>
      </c>
      <c r="I63" s="605">
        <v>73.3</v>
      </c>
      <c r="J63" s="605">
        <v>65.400000000000006</v>
      </c>
      <c r="K63" s="605">
        <v>17.8</v>
      </c>
      <c r="L63" s="605">
        <f>I63-J63</f>
        <v>7.8999999999999915</v>
      </c>
      <c r="M63" s="605">
        <f t="shared" si="10"/>
        <v>47.600000000000009</v>
      </c>
      <c r="N63" s="606">
        <f t="shared" si="1"/>
        <v>0.16596638655462165</v>
      </c>
      <c r="O63" s="607"/>
    </row>
    <row r="64" spans="1:15">
      <c r="A64" s="601">
        <v>42314</v>
      </c>
      <c r="B64" s="602">
        <v>13</v>
      </c>
      <c r="C64" s="602">
        <v>13</v>
      </c>
      <c r="D64" s="603">
        <v>1</v>
      </c>
      <c r="E64" s="603">
        <v>1</v>
      </c>
      <c r="G64" s="604" t="s">
        <v>292</v>
      </c>
      <c r="H64" s="605" t="s">
        <v>59</v>
      </c>
      <c r="I64" s="605">
        <v>86.1</v>
      </c>
      <c r="J64" s="605">
        <v>76.7</v>
      </c>
      <c r="K64" s="605">
        <v>21.6</v>
      </c>
      <c r="L64" s="605">
        <f t="shared" ref="L64:M76" si="13">I64-J64</f>
        <v>9.3999999999999915</v>
      </c>
      <c r="M64" s="605">
        <f t="shared" si="10"/>
        <v>55.1</v>
      </c>
      <c r="N64" s="606">
        <f t="shared" si="1"/>
        <v>0.17059891107078023</v>
      </c>
      <c r="O64" s="607"/>
    </row>
    <row r="65" spans="1:15" ht="15.75" customHeight="1">
      <c r="B65" s="602"/>
      <c r="C65" s="602"/>
      <c r="G65" s="604" t="s">
        <v>369</v>
      </c>
      <c r="H65" s="604" t="s">
        <v>262</v>
      </c>
      <c r="I65" s="605">
        <v>73.3</v>
      </c>
      <c r="J65" s="605">
        <v>66.5</v>
      </c>
      <c r="K65" s="605">
        <v>22.9</v>
      </c>
      <c r="L65" s="605">
        <f t="shared" si="13"/>
        <v>6.7999999999999972</v>
      </c>
      <c r="M65" s="605">
        <f t="shared" si="13"/>
        <v>43.6</v>
      </c>
      <c r="N65" s="606">
        <f t="shared" si="1"/>
        <v>0.1559633027522935</v>
      </c>
      <c r="O65" s="607"/>
    </row>
    <row r="66" spans="1:15">
      <c r="B66" s="602"/>
      <c r="C66" s="602"/>
      <c r="G66" s="604" t="s">
        <v>878</v>
      </c>
      <c r="H66" s="605" t="s">
        <v>60</v>
      </c>
      <c r="I66" s="605">
        <v>87.1</v>
      </c>
      <c r="J66" s="605">
        <v>78.900000000000006</v>
      </c>
      <c r="K66" s="605">
        <v>25.3</v>
      </c>
      <c r="L66" s="605">
        <f t="shared" si="13"/>
        <v>8.1999999999999886</v>
      </c>
      <c r="M66" s="605">
        <f t="shared" si="13"/>
        <v>53.600000000000009</v>
      </c>
      <c r="N66" s="606">
        <f t="shared" si="1"/>
        <v>0.15298507462686545</v>
      </c>
      <c r="O66" s="607"/>
    </row>
    <row r="67" spans="1:15">
      <c r="B67" s="602"/>
      <c r="C67" s="602"/>
      <c r="G67" s="604" t="s">
        <v>879</v>
      </c>
      <c r="H67" s="605" t="s">
        <v>61</v>
      </c>
      <c r="I67" s="605">
        <v>98.8</v>
      </c>
      <c r="J67" s="605">
        <v>88.2</v>
      </c>
      <c r="K67" s="605">
        <v>22.9</v>
      </c>
      <c r="L67" s="605">
        <f t="shared" si="13"/>
        <v>10.599999999999994</v>
      </c>
      <c r="M67" s="605">
        <f t="shared" si="13"/>
        <v>65.300000000000011</v>
      </c>
      <c r="N67" s="606">
        <f t="shared" si="1"/>
        <v>0.16232771822358336</v>
      </c>
      <c r="O67" s="607"/>
    </row>
    <row r="68" spans="1:15">
      <c r="B68" s="602"/>
      <c r="C68" s="602"/>
      <c r="G68" s="604" t="s">
        <v>301</v>
      </c>
      <c r="H68" s="605" t="s">
        <v>62</v>
      </c>
      <c r="I68" s="605">
        <v>83.2</v>
      </c>
      <c r="J68" s="605">
        <v>81.7</v>
      </c>
      <c r="K68" s="605">
        <v>22.6</v>
      </c>
      <c r="L68" s="605">
        <f>I68-J68</f>
        <v>1.5</v>
      </c>
      <c r="M68" s="605">
        <f t="shared" si="13"/>
        <v>59.1</v>
      </c>
      <c r="N68" s="606">
        <f t="shared" ref="N68:N123" si="14">L68/M68</f>
        <v>2.5380710659898477E-2</v>
      </c>
      <c r="O68" s="607"/>
    </row>
    <row r="69" spans="1:15">
      <c r="A69" s="601">
        <v>42314</v>
      </c>
      <c r="B69" s="602">
        <v>14</v>
      </c>
      <c r="C69" s="602">
        <v>14</v>
      </c>
      <c r="D69" s="603">
        <v>1</v>
      </c>
      <c r="E69" s="603">
        <v>1</v>
      </c>
      <c r="G69" s="604" t="s">
        <v>838</v>
      </c>
      <c r="H69" s="605" t="s">
        <v>59</v>
      </c>
      <c r="I69" s="605">
        <v>85.7</v>
      </c>
      <c r="J69" s="605">
        <v>76.900000000000006</v>
      </c>
      <c r="K69" s="605">
        <v>23</v>
      </c>
      <c r="L69" s="605">
        <f t="shared" ref="L69:L72" si="15">I69-J69</f>
        <v>8.7999999999999972</v>
      </c>
      <c r="M69" s="605">
        <f t="shared" si="13"/>
        <v>53.900000000000006</v>
      </c>
      <c r="N69" s="606">
        <f t="shared" si="14"/>
        <v>0.16326530612244891</v>
      </c>
      <c r="O69" s="607"/>
    </row>
    <row r="70" spans="1:15">
      <c r="B70" s="602"/>
      <c r="C70" s="602"/>
      <c r="G70" s="604" t="s">
        <v>880</v>
      </c>
      <c r="H70" s="604" t="s">
        <v>262</v>
      </c>
      <c r="I70" s="605">
        <v>92</v>
      </c>
      <c r="J70" s="605">
        <v>82.2</v>
      </c>
      <c r="K70" s="605">
        <v>22.1</v>
      </c>
      <c r="L70" s="605">
        <f t="shared" si="15"/>
        <v>9.7999999999999972</v>
      </c>
      <c r="M70" s="605">
        <f t="shared" si="13"/>
        <v>60.1</v>
      </c>
      <c r="N70" s="606">
        <f t="shared" si="14"/>
        <v>0.1630615640599001</v>
      </c>
      <c r="O70" s="607"/>
    </row>
    <row r="71" spans="1:15">
      <c r="B71" s="602"/>
      <c r="C71" s="602"/>
      <c r="G71" s="604" t="s">
        <v>308</v>
      </c>
      <c r="H71" s="605" t="s">
        <v>60</v>
      </c>
      <c r="I71" s="605">
        <v>87.9</v>
      </c>
      <c r="J71" s="605">
        <v>78.599999999999994</v>
      </c>
      <c r="K71" s="605">
        <v>21.8</v>
      </c>
      <c r="L71" s="605">
        <f t="shared" si="15"/>
        <v>9.3000000000000114</v>
      </c>
      <c r="M71" s="605">
        <f t="shared" si="13"/>
        <v>56.8</v>
      </c>
      <c r="N71" s="606">
        <f t="shared" si="14"/>
        <v>0.16373239436619738</v>
      </c>
      <c r="O71" s="607"/>
    </row>
    <row r="72" spans="1:15">
      <c r="B72" s="602"/>
      <c r="C72" s="602"/>
      <c r="G72" s="604" t="s">
        <v>881</v>
      </c>
      <c r="H72" s="605" t="s">
        <v>61</v>
      </c>
      <c r="I72" s="605">
        <v>96.4</v>
      </c>
      <c r="J72" s="605">
        <v>87</v>
      </c>
      <c r="K72" s="605">
        <v>27.7</v>
      </c>
      <c r="L72" s="605">
        <f t="shared" si="15"/>
        <v>9.4000000000000057</v>
      </c>
      <c r="M72" s="605">
        <f t="shared" si="13"/>
        <v>59.3</v>
      </c>
      <c r="N72" s="606">
        <f t="shared" si="14"/>
        <v>0.1585160202360878</v>
      </c>
      <c r="O72" s="607"/>
    </row>
    <row r="73" spans="1:15" ht="15.75" customHeight="1">
      <c r="B73" s="602"/>
      <c r="C73" s="602"/>
      <c r="G73" s="604" t="s">
        <v>882</v>
      </c>
      <c r="H73" s="605" t="s">
        <v>62</v>
      </c>
      <c r="I73" s="605">
        <v>96.9</v>
      </c>
      <c r="J73" s="605">
        <v>84.9</v>
      </c>
      <c r="K73" s="605">
        <v>22.7</v>
      </c>
      <c r="L73" s="605">
        <f>I73-J73</f>
        <v>12</v>
      </c>
      <c r="M73" s="605">
        <f t="shared" si="13"/>
        <v>62.2</v>
      </c>
      <c r="N73" s="606">
        <f t="shared" si="14"/>
        <v>0.19292604501607716</v>
      </c>
      <c r="O73" s="607"/>
    </row>
    <row r="74" spans="1:15">
      <c r="A74" s="601">
        <v>42314</v>
      </c>
      <c r="B74" s="602">
        <v>15</v>
      </c>
      <c r="C74" s="602">
        <v>15</v>
      </c>
      <c r="D74" s="603">
        <v>1</v>
      </c>
      <c r="E74" s="603">
        <v>1</v>
      </c>
      <c r="G74" s="604" t="s">
        <v>307</v>
      </c>
      <c r="H74" s="605" t="s">
        <v>59</v>
      </c>
      <c r="I74" s="605">
        <v>82.4</v>
      </c>
      <c r="J74" s="605">
        <v>73.8</v>
      </c>
      <c r="K74" s="605">
        <v>22.4</v>
      </c>
      <c r="L74" s="605">
        <f t="shared" ref="L74:L76" si="16">I74-J74</f>
        <v>8.6000000000000085</v>
      </c>
      <c r="M74" s="605">
        <f t="shared" si="13"/>
        <v>51.4</v>
      </c>
      <c r="N74" s="606">
        <f t="shared" si="14"/>
        <v>0.16731517509727645</v>
      </c>
      <c r="O74" s="607"/>
    </row>
    <row r="75" spans="1:15">
      <c r="B75" s="602"/>
      <c r="C75" s="602"/>
      <c r="G75" s="604" t="s">
        <v>883</v>
      </c>
      <c r="H75" s="604" t="s">
        <v>262</v>
      </c>
      <c r="I75" s="605">
        <v>83.1</v>
      </c>
      <c r="J75" s="605">
        <v>73.8</v>
      </c>
      <c r="K75" s="605">
        <v>22.5</v>
      </c>
      <c r="L75" s="605">
        <f t="shared" si="16"/>
        <v>9.2999999999999972</v>
      </c>
      <c r="M75" s="605">
        <f t="shared" si="13"/>
        <v>51.3</v>
      </c>
      <c r="N75" s="606">
        <f t="shared" si="14"/>
        <v>0.1812865497076023</v>
      </c>
      <c r="O75" s="607"/>
    </row>
    <row r="76" spans="1:15">
      <c r="B76" s="602"/>
      <c r="C76" s="602"/>
      <c r="G76" s="604" t="s">
        <v>884</v>
      </c>
      <c r="H76" s="605" t="s">
        <v>60</v>
      </c>
      <c r="I76" s="605">
        <v>78</v>
      </c>
      <c r="J76" s="605">
        <v>69.8</v>
      </c>
      <c r="K76" s="605">
        <v>21.4</v>
      </c>
      <c r="L76" s="605">
        <f t="shared" si="16"/>
        <v>8.2000000000000028</v>
      </c>
      <c r="M76" s="605">
        <f t="shared" si="13"/>
        <v>48.4</v>
      </c>
      <c r="N76" s="606">
        <f t="shared" si="14"/>
        <v>0.16942148760330586</v>
      </c>
      <c r="O76" s="607"/>
    </row>
    <row r="77" spans="1:15">
      <c r="B77" s="602"/>
      <c r="C77" s="602"/>
      <c r="G77" s="604" t="s">
        <v>885</v>
      </c>
      <c r="H77" s="605" t="s">
        <v>61</v>
      </c>
      <c r="I77" s="605">
        <v>84</v>
      </c>
      <c r="J77" s="605">
        <v>75.400000000000006</v>
      </c>
      <c r="K77" s="605">
        <v>23.6</v>
      </c>
      <c r="L77" s="605">
        <f>I77-J77</f>
        <v>8.5999999999999943</v>
      </c>
      <c r="M77" s="605">
        <f>J77-K77</f>
        <v>51.800000000000004</v>
      </c>
      <c r="N77" s="606">
        <f t="shared" si="14"/>
        <v>0.16602316602316591</v>
      </c>
      <c r="O77" s="607"/>
    </row>
    <row r="78" spans="1:15">
      <c r="B78" s="602"/>
      <c r="C78" s="602"/>
      <c r="G78" s="604" t="s">
        <v>886</v>
      </c>
      <c r="H78" s="605" t="s">
        <v>62</v>
      </c>
      <c r="I78" s="605">
        <v>85.1</v>
      </c>
      <c r="J78" s="605">
        <v>77.099999999999994</v>
      </c>
      <c r="K78" s="605">
        <v>21.7</v>
      </c>
      <c r="L78" s="605">
        <f t="shared" ref="L78:M94" si="17">I78-J78</f>
        <v>8</v>
      </c>
      <c r="M78" s="605">
        <f t="shared" si="17"/>
        <v>55.399999999999991</v>
      </c>
      <c r="N78" s="606">
        <f t="shared" si="14"/>
        <v>0.14440433212996392</v>
      </c>
      <c r="O78" s="607"/>
    </row>
    <row r="79" spans="1:15">
      <c r="A79" s="601">
        <v>42314</v>
      </c>
      <c r="B79" s="602">
        <v>16</v>
      </c>
      <c r="C79" s="602">
        <v>16</v>
      </c>
      <c r="D79" s="603">
        <v>1</v>
      </c>
      <c r="E79" s="603">
        <v>1</v>
      </c>
      <c r="G79" s="604" t="s">
        <v>380</v>
      </c>
      <c r="H79" s="605" t="s">
        <v>59</v>
      </c>
      <c r="I79" s="605">
        <v>89.2</v>
      </c>
      <c r="J79" s="605">
        <v>79.7</v>
      </c>
      <c r="K79" s="605">
        <v>20.7</v>
      </c>
      <c r="L79" s="605">
        <f t="shared" si="17"/>
        <v>9.5</v>
      </c>
      <c r="M79" s="605">
        <f t="shared" si="17"/>
        <v>59</v>
      </c>
      <c r="N79" s="606">
        <f t="shared" si="14"/>
        <v>0.16101694915254236</v>
      </c>
      <c r="O79" s="607"/>
    </row>
    <row r="80" spans="1:15">
      <c r="B80" s="602"/>
      <c r="C80" s="602"/>
      <c r="G80" s="604" t="s">
        <v>887</v>
      </c>
      <c r="H80" s="604" t="s">
        <v>262</v>
      </c>
      <c r="I80" s="605">
        <v>90.7</v>
      </c>
      <c r="J80" s="605">
        <v>81.099999999999994</v>
      </c>
      <c r="K80" s="605">
        <v>22.6</v>
      </c>
      <c r="L80" s="605">
        <f t="shared" si="17"/>
        <v>9.6000000000000085</v>
      </c>
      <c r="M80" s="605">
        <f t="shared" si="17"/>
        <v>58.499999999999993</v>
      </c>
      <c r="N80" s="606">
        <f t="shared" si="14"/>
        <v>0.16410256410256427</v>
      </c>
      <c r="O80" s="607"/>
    </row>
    <row r="81" spans="1:15" ht="15.75" customHeight="1">
      <c r="B81" s="602"/>
      <c r="C81" s="602"/>
      <c r="G81" s="604" t="s">
        <v>888</v>
      </c>
      <c r="H81" s="605" t="s">
        <v>60</v>
      </c>
      <c r="I81" s="605">
        <v>90.7</v>
      </c>
      <c r="J81" s="605">
        <v>81.099999999999994</v>
      </c>
      <c r="K81" s="605">
        <v>22.1</v>
      </c>
      <c r="L81" s="605">
        <f t="shared" si="17"/>
        <v>9.6000000000000085</v>
      </c>
      <c r="M81" s="605">
        <f t="shared" si="17"/>
        <v>58.999999999999993</v>
      </c>
      <c r="N81" s="606">
        <f t="shared" si="14"/>
        <v>0.16271186440677982</v>
      </c>
      <c r="O81" s="607"/>
    </row>
    <row r="82" spans="1:15">
      <c r="B82" s="602"/>
      <c r="C82" s="602"/>
      <c r="G82" s="604" t="s">
        <v>889</v>
      </c>
      <c r="H82" s="605" t="s">
        <v>61</v>
      </c>
      <c r="I82" s="605">
        <v>85.4</v>
      </c>
      <c r="J82" s="605">
        <v>76.900000000000006</v>
      </c>
      <c r="K82" s="605">
        <v>22.5</v>
      </c>
      <c r="L82" s="605">
        <f t="shared" si="17"/>
        <v>8.5</v>
      </c>
      <c r="M82" s="605">
        <f t="shared" si="17"/>
        <v>54.400000000000006</v>
      </c>
      <c r="N82" s="606">
        <f t="shared" si="14"/>
        <v>0.15624999999999997</v>
      </c>
      <c r="O82" s="607"/>
    </row>
    <row r="83" spans="1:15">
      <c r="B83" s="602"/>
      <c r="C83" s="602"/>
      <c r="G83" s="604" t="s">
        <v>890</v>
      </c>
      <c r="H83" s="605" t="s">
        <v>62</v>
      </c>
      <c r="I83" s="605">
        <v>90</v>
      </c>
      <c r="J83" s="605">
        <v>80.8</v>
      </c>
      <c r="K83" s="605">
        <v>21.9</v>
      </c>
      <c r="L83" s="605">
        <f t="shared" si="17"/>
        <v>9.2000000000000028</v>
      </c>
      <c r="M83" s="605">
        <f t="shared" si="17"/>
        <v>58.9</v>
      </c>
      <c r="N83" s="606">
        <f t="shared" si="14"/>
        <v>0.15619694397283537</v>
      </c>
      <c r="O83" s="607"/>
    </row>
    <row r="84" spans="1:15">
      <c r="A84" s="601">
        <v>42314</v>
      </c>
      <c r="B84" s="602">
        <v>17</v>
      </c>
      <c r="C84" s="602">
        <v>17</v>
      </c>
      <c r="D84" s="603">
        <v>1</v>
      </c>
      <c r="E84" s="603">
        <v>1</v>
      </c>
      <c r="G84" s="604" t="s">
        <v>414</v>
      </c>
      <c r="H84" s="605" t="s">
        <v>59</v>
      </c>
      <c r="I84" s="605">
        <v>98.4</v>
      </c>
      <c r="J84" s="605">
        <v>87.7</v>
      </c>
      <c r="K84" s="605">
        <v>29.8</v>
      </c>
      <c r="L84" s="605">
        <f t="shared" si="17"/>
        <v>10.700000000000003</v>
      </c>
      <c r="M84" s="605">
        <f t="shared" si="17"/>
        <v>57.900000000000006</v>
      </c>
      <c r="N84" s="606">
        <f t="shared" si="14"/>
        <v>0.18480138169257343</v>
      </c>
      <c r="O84" s="607"/>
    </row>
    <row r="85" spans="1:15">
      <c r="B85" s="602"/>
      <c r="C85" s="602"/>
      <c r="G85" s="604" t="s">
        <v>891</v>
      </c>
      <c r="H85" s="604" t="s">
        <v>262</v>
      </c>
      <c r="I85" s="605">
        <v>83</v>
      </c>
      <c r="J85" s="605">
        <v>74.3</v>
      </c>
      <c r="K85" s="605">
        <v>22.1</v>
      </c>
      <c r="L85" s="605">
        <f t="shared" si="17"/>
        <v>8.7000000000000028</v>
      </c>
      <c r="M85" s="605">
        <f t="shared" si="17"/>
        <v>52.199999999999996</v>
      </c>
      <c r="N85" s="606">
        <f t="shared" si="14"/>
        <v>0.16666666666666674</v>
      </c>
      <c r="O85" s="607"/>
    </row>
    <row r="86" spans="1:15">
      <c r="B86" s="602"/>
      <c r="C86" s="602"/>
      <c r="G86" s="604" t="s">
        <v>278</v>
      </c>
      <c r="H86" s="605" t="s">
        <v>60</v>
      </c>
      <c r="I86" s="605">
        <v>82</v>
      </c>
      <c r="J86" s="605">
        <v>73.599999999999994</v>
      </c>
      <c r="K86" s="605">
        <v>23.3</v>
      </c>
      <c r="L86" s="605">
        <f t="shared" si="17"/>
        <v>8.4000000000000057</v>
      </c>
      <c r="M86" s="605">
        <f t="shared" si="17"/>
        <v>50.3</v>
      </c>
      <c r="N86" s="606">
        <f t="shared" si="14"/>
        <v>0.16699801192842956</v>
      </c>
      <c r="O86" s="607"/>
    </row>
    <row r="87" spans="1:15">
      <c r="B87" s="602"/>
      <c r="C87" s="602"/>
      <c r="G87" s="604" t="s">
        <v>698</v>
      </c>
      <c r="H87" s="605" t="s">
        <v>61</v>
      </c>
      <c r="I87" s="605">
        <v>90.2</v>
      </c>
      <c r="J87" s="605">
        <v>80.3</v>
      </c>
      <c r="K87" s="605">
        <v>24.3</v>
      </c>
      <c r="L87" s="605">
        <f t="shared" si="17"/>
        <v>9.9000000000000057</v>
      </c>
      <c r="M87" s="605">
        <f t="shared" si="17"/>
        <v>56</v>
      </c>
      <c r="N87" s="606">
        <f t="shared" si="14"/>
        <v>0.17678571428571438</v>
      </c>
      <c r="O87" s="607"/>
    </row>
    <row r="88" spans="1:15">
      <c r="B88" s="602"/>
      <c r="C88" s="602"/>
      <c r="G88" s="608" t="s">
        <v>392</v>
      </c>
      <c r="H88" s="609" t="s">
        <v>62</v>
      </c>
      <c r="I88" s="609">
        <v>108.1</v>
      </c>
      <c r="J88" s="609">
        <v>90.3</v>
      </c>
      <c r="K88" s="609">
        <v>22.4</v>
      </c>
      <c r="L88" s="609">
        <f t="shared" si="17"/>
        <v>17.799999999999997</v>
      </c>
      <c r="M88" s="609">
        <f t="shared" si="17"/>
        <v>67.900000000000006</v>
      </c>
      <c r="N88" s="610">
        <f t="shared" si="14"/>
        <v>0.26215022091310747</v>
      </c>
      <c r="O88" s="607"/>
    </row>
    <row r="89" spans="1:15">
      <c r="A89" s="601">
        <v>42314</v>
      </c>
      <c r="B89" s="602">
        <v>18</v>
      </c>
      <c r="C89" s="602">
        <v>18</v>
      </c>
      <c r="D89" s="603">
        <v>1</v>
      </c>
      <c r="E89" s="603">
        <v>1</v>
      </c>
      <c r="G89" s="604" t="s">
        <v>892</v>
      </c>
      <c r="H89" s="605" t="s">
        <v>59</v>
      </c>
      <c r="I89" s="605">
        <v>92.4</v>
      </c>
      <c r="J89" s="605">
        <v>82.1</v>
      </c>
      <c r="K89" s="605">
        <v>22.5</v>
      </c>
      <c r="L89" s="605">
        <f t="shared" si="17"/>
        <v>10.300000000000011</v>
      </c>
      <c r="M89" s="605">
        <f t="shared" si="17"/>
        <v>59.599999999999994</v>
      </c>
      <c r="N89" s="606">
        <f t="shared" si="14"/>
        <v>0.17281879194630892</v>
      </c>
      <c r="O89" s="607"/>
    </row>
    <row r="90" spans="1:15">
      <c r="B90" s="602"/>
      <c r="C90" s="602"/>
      <c r="G90" s="604" t="s">
        <v>893</v>
      </c>
      <c r="H90" s="604" t="s">
        <v>262</v>
      </c>
      <c r="I90" s="605">
        <v>83.6</v>
      </c>
      <c r="J90" s="605">
        <v>75.8</v>
      </c>
      <c r="K90" s="605">
        <v>29.7</v>
      </c>
      <c r="L90" s="605">
        <f t="shared" si="17"/>
        <v>7.7999999999999972</v>
      </c>
      <c r="M90" s="605">
        <f t="shared" si="17"/>
        <v>46.099999999999994</v>
      </c>
      <c r="N90" s="606">
        <f t="shared" si="14"/>
        <v>0.16919739696312361</v>
      </c>
      <c r="O90" s="607"/>
    </row>
    <row r="91" spans="1:15">
      <c r="B91" s="602"/>
      <c r="C91" s="602"/>
      <c r="G91" s="604" t="s">
        <v>894</v>
      </c>
      <c r="H91" s="605" t="s">
        <v>60</v>
      </c>
      <c r="I91" s="605">
        <v>91.6</v>
      </c>
      <c r="J91" s="605">
        <v>83.2</v>
      </c>
      <c r="K91" s="605">
        <v>29.8</v>
      </c>
      <c r="L91" s="605">
        <f t="shared" si="17"/>
        <v>8.3999999999999915</v>
      </c>
      <c r="M91" s="605">
        <f t="shared" si="17"/>
        <v>53.400000000000006</v>
      </c>
      <c r="N91" s="606">
        <f t="shared" si="14"/>
        <v>0.15730337078651668</v>
      </c>
      <c r="O91" s="607"/>
    </row>
    <row r="92" spans="1:15">
      <c r="B92" s="602"/>
      <c r="C92" s="602"/>
      <c r="G92" s="604" t="s">
        <v>683</v>
      </c>
      <c r="H92" s="605" t="s">
        <v>61</v>
      </c>
      <c r="I92" s="605">
        <v>84.8</v>
      </c>
      <c r="J92" s="605">
        <v>76.099999999999994</v>
      </c>
      <c r="K92" s="605">
        <v>21</v>
      </c>
      <c r="L92" s="605">
        <f t="shared" si="17"/>
        <v>8.7000000000000028</v>
      </c>
      <c r="M92" s="605">
        <f t="shared" si="17"/>
        <v>55.099999999999994</v>
      </c>
      <c r="N92" s="606">
        <f t="shared" si="14"/>
        <v>0.15789473684210534</v>
      </c>
      <c r="O92" s="607"/>
    </row>
    <row r="93" spans="1:15">
      <c r="B93" s="602"/>
      <c r="C93" s="602"/>
      <c r="G93" s="604" t="s">
        <v>272</v>
      </c>
      <c r="H93" s="605" t="s">
        <v>62</v>
      </c>
      <c r="I93" s="605">
        <v>107.6</v>
      </c>
      <c r="J93" s="605">
        <v>92.7</v>
      </c>
      <c r="K93" s="605">
        <v>22.4</v>
      </c>
      <c r="L93" s="605">
        <f t="shared" si="17"/>
        <v>14.899999999999991</v>
      </c>
      <c r="M93" s="605">
        <f t="shared" si="17"/>
        <v>70.300000000000011</v>
      </c>
      <c r="N93" s="606">
        <f t="shared" si="14"/>
        <v>0.21194879089615917</v>
      </c>
      <c r="O93" s="607"/>
    </row>
    <row r="94" spans="1:15">
      <c r="A94" s="601">
        <v>42314</v>
      </c>
      <c r="B94" s="602">
        <v>19</v>
      </c>
      <c r="C94" s="602">
        <v>19</v>
      </c>
      <c r="D94" s="603">
        <v>1</v>
      </c>
      <c r="E94" s="603">
        <v>1</v>
      </c>
      <c r="G94" s="604" t="s">
        <v>895</v>
      </c>
      <c r="H94" s="605" t="s">
        <v>59</v>
      </c>
      <c r="I94" s="605">
        <v>97.2</v>
      </c>
      <c r="J94" s="605">
        <v>87.7</v>
      </c>
      <c r="K94" s="605">
        <v>21.1</v>
      </c>
      <c r="L94" s="605">
        <f t="shared" si="17"/>
        <v>9.5</v>
      </c>
      <c r="M94" s="605">
        <f t="shared" si="17"/>
        <v>66.599999999999994</v>
      </c>
      <c r="N94" s="606">
        <f t="shared" si="14"/>
        <v>0.14264264264264265</v>
      </c>
      <c r="O94" s="607"/>
    </row>
    <row r="95" spans="1:15">
      <c r="B95" s="602"/>
      <c r="C95" s="602"/>
      <c r="G95" s="604" t="s">
        <v>544</v>
      </c>
      <c r="H95" s="604" t="s">
        <v>262</v>
      </c>
      <c r="I95" s="605">
        <v>96.4</v>
      </c>
      <c r="J95" s="605">
        <v>87.8</v>
      </c>
      <c r="K95" s="605">
        <v>23.5</v>
      </c>
      <c r="L95" s="605">
        <f t="shared" ref="L95:M123" si="18">I95-J95</f>
        <v>8.6000000000000085</v>
      </c>
      <c r="M95" s="605">
        <f t="shared" si="18"/>
        <v>64.3</v>
      </c>
      <c r="N95" s="606">
        <f t="shared" si="14"/>
        <v>0.13374805598755846</v>
      </c>
      <c r="O95" s="607"/>
    </row>
    <row r="96" spans="1:15">
      <c r="B96" s="602"/>
      <c r="C96" s="602"/>
      <c r="G96" s="604" t="s">
        <v>378</v>
      </c>
      <c r="H96" s="605" t="s">
        <v>60</v>
      </c>
      <c r="I96" s="605">
        <v>86.8</v>
      </c>
      <c r="J96" s="605">
        <v>79.3</v>
      </c>
      <c r="K96" s="605">
        <v>22</v>
      </c>
      <c r="L96" s="605">
        <f t="shared" si="18"/>
        <v>7.5</v>
      </c>
      <c r="M96" s="605">
        <f t="shared" si="18"/>
        <v>57.3</v>
      </c>
      <c r="N96" s="606">
        <f t="shared" si="14"/>
        <v>0.13089005235602094</v>
      </c>
      <c r="O96" s="607"/>
    </row>
    <row r="97" spans="1:15">
      <c r="B97" s="602"/>
      <c r="C97" s="602"/>
      <c r="G97" s="604" t="s">
        <v>896</v>
      </c>
      <c r="H97" s="605" t="s">
        <v>61</v>
      </c>
      <c r="I97" s="605">
        <v>89.6</v>
      </c>
      <c r="J97" s="605">
        <v>84.3</v>
      </c>
      <c r="K97" s="605">
        <v>24.1</v>
      </c>
      <c r="L97" s="605">
        <f t="shared" si="18"/>
        <v>5.2999999999999972</v>
      </c>
      <c r="M97" s="605">
        <f t="shared" si="18"/>
        <v>60.199999999999996</v>
      </c>
      <c r="N97" s="606">
        <f t="shared" si="14"/>
        <v>8.8039867109634504E-2</v>
      </c>
      <c r="O97" s="607"/>
    </row>
    <row r="98" spans="1:15">
      <c r="B98" s="602"/>
      <c r="C98" s="602"/>
      <c r="G98" s="604" t="s">
        <v>270</v>
      </c>
      <c r="H98" s="605" t="s">
        <v>62</v>
      </c>
      <c r="I98" s="605">
        <v>94.4</v>
      </c>
      <c r="J98" s="605">
        <v>91.1</v>
      </c>
      <c r="K98" s="605">
        <v>37</v>
      </c>
      <c r="L98" s="605">
        <f t="shared" si="18"/>
        <v>3.3000000000000114</v>
      </c>
      <c r="M98" s="605">
        <f t="shared" si="18"/>
        <v>54.099999999999994</v>
      </c>
      <c r="N98" s="606">
        <f t="shared" si="14"/>
        <v>6.0998151571164727E-2</v>
      </c>
      <c r="O98" s="607"/>
    </row>
    <row r="99" spans="1:15">
      <c r="A99" s="601">
        <v>42314</v>
      </c>
      <c r="B99" s="602">
        <v>20</v>
      </c>
      <c r="C99" s="602">
        <v>20</v>
      </c>
      <c r="D99" s="603">
        <v>1</v>
      </c>
      <c r="E99" s="603">
        <v>1</v>
      </c>
      <c r="G99" s="604" t="s">
        <v>682</v>
      </c>
      <c r="H99" s="605" t="s">
        <v>59</v>
      </c>
      <c r="I99" s="605">
        <v>100.2</v>
      </c>
      <c r="J99" s="605">
        <v>90.8</v>
      </c>
      <c r="K99" s="605">
        <v>22.8</v>
      </c>
      <c r="L99" s="605">
        <f t="shared" si="18"/>
        <v>9.4000000000000057</v>
      </c>
      <c r="M99" s="605">
        <f t="shared" si="18"/>
        <v>68</v>
      </c>
      <c r="N99" s="606">
        <f t="shared" si="14"/>
        <v>0.13823529411764715</v>
      </c>
      <c r="O99" s="607"/>
    </row>
    <row r="100" spans="1:15">
      <c r="B100" s="602"/>
      <c r="C100" s="602"/>
      <c r="G100" s="604" t="s">
        <v>690</v>
      </c>
      <c r="H100" s="604" t="s">
        <v>262</v>
      </c>
      <c r="I100" s="605">
        <v>87.1</v>
      </c>
      <c r="J100" s="605">
        <v>79.900000000000006</v>
      </c>
      <c r="K100" s="605">
        <v>23.4</v>
      </c>
      <c r="L100" s="605">
        <f t="shared" si="18"/>
        <v>7.1999999999999886</v>
      </c>
      <c r="M100" s="605">
        <f t="shared" si="18"/>
        <v>56.500000000000007</v>
      </c>
      <c r="N100" s="606">
        <f t="shared" si="14"/>
        <v>0.12743362831858385</v>
      </c>
      <c r="O100" s="607"/>
    </row>
    <row r="101" spans="1:15">
      <c r="B101" s="602"/>
      <c r="C101" s="602"/>
      <c r="G101" s="604" t="s">
        <v>897</v>
      </c>
      <c r="H101" s="605" t="s">
        <v>60</v>
      </c>
      <c r="I101" s="605">
        <v>91.4</v>
      </c>
      <c r="J101" s="605">
        <v>84.2</v>
      </c>
      <c r="K101" s="605">
        <v>26.6</v>
      </c>
      <c r="L101" s="605">
        <f t="shared" si="18"/>
        <v>7.2000000000000028</v>
      </c>
      <c r="M101" s="605">
        <f t="shared" si="18"/>
        <v>57.6</v>
      </c>
      <c r="N101" s="606">
        <f t="shared" si="14"/>
        <v>0.12500000000000006</v>
      </c>
      <c r="O101" s="607"/>
    </row>
    <row r="102" spans="1:15">
      <c r="B102" s="602"/>
      <c r="C102" s="602"/>
      <c r="G102" s="604" t="s">
        <v>689</v>
      </c>
      <c r="H102" s="605" t="s">
        <v>61</v>
      </c>
      <c r="I102" s="605">
        <v>95.4</v>
      </c>
      <c r="J102" s="605">
        <v>87.1</v>
      </c>
      <c r="K102" s="605">
        <v>23.1</v>
      </c>
      <c r="L102" s="605">
        <f t="shared" si="18"/>
        <v>8.3000000000000114</v>
      </c>
      <c r="M102" s="605">
        <f t="shared" si="18"/>
        <v>63.999999999999993</v>
      </c>
      <c r="N102" s="606">
        <f t="shared" si="14"/>
        <v>0.12968750000000021</v>
      </c>
      <c r="O102" s="607"/>
    </row>
    <row r="103" spans="1:15">
      <c r="B103" s="602"/>
      <c r="C103" s="602"/>
      <c r="G103" s="604" t="s">
        <v>898</v>
      </c>
      <c r="H103" s="605" t="s">
        <v>62</v>
      </c>
      <c r="I103" s="605">
        <v>94.7</v>
      </c>
      <c r="J103" s="605">
        <v>85.5</v>
      </c>
      <c r="K103" s="605">
        <v>23.6</v>
      </c>
      <c r="L103" s="605">
        <f t="shared" si="18"/>
        <v>9.2000000000000028</v>
      </c>
      <c r="M103" s="605">
        <f t="shared" si="18"/>
        <v>61.9</v>
      </c>
      <c r="N103" s="606">
        <f t="shared" si="14"/>
        <v>0.14862681744749601</v>
      </c>
      <c r="O103" s="607"/>
    </row>
    <row r="104" spans="1:15">
      <c r="A104" s="601">
        <v>42314</v>
      </c>
      <c r="B104" s="602">
        <v>22</v>
      </c>
      <c r="C104" s="602">
        <v>21</v>
      </c>
      <c r="D104" s="603">
        <v>1</v>
      </c>
      <c r="E104" s="603">
        <v>1</v>
      </c>
      <c r="G104" s="604" t="s">
        <v>267</v>
      </c>
      <c r="H104" s="605" t="s">
        <v>59</v>
      </c>
      <c r="I104" s="605">
        <v>89.7</v>
      </c>
      <c r="J104" s="605">
        <v>81.900000000000006</v>
      </c>
      <c r="K104" s="605">
        <v>25.6</v>
      </c>
      <c r="L104" s="605">
        <f t="shared" si="18"/>
        <v>7.7999999999999972</v>
      </c>
      <c r="M104" s="605">
        <f t="shared" si="18"/>
        <v>56.300000000000004</v>
      </c>
      <c r="N104" s="606">
        <f t="shared" si="14"/>
        <v>0.13854351687388983</v>
      </c>
      <c r="O104" s="607"/>
    </row>
    <row r="105" spans="1:15">
      <c r="B105" s="602"/>
      <c r="C105" s="602"/>
      <c r="G105" s="604" t="s">
        <v>899</v>
      </c>
      <c r="H105" s="604" t="s">
        <v>262</v>
      </c>
      <c r="I105" s="605">
        <v>96.1</v>
      </c>
      <c r="J105" s="605">
        <v>87.8</v>
      </c>
      <c r="K105" s="605">
        <v>23.6</v>
      </c>
      <c r="L105" s="605">
        <f t="shared" si="18"/>
        <v>8.2999999999999972</v>
      </c>
      <c r="M105" s="605">
        <f t="shared" si="18"/>
        <v>64.199999999999989</v>
      </c>
      <c r="N105" s="606">
        <f t="shared" si="14"/>
        <v>0.1292834890965732</v>
      </c>
      <c r="O105" s="607"/>
    </row>
    <row r="106" spans="1:15">
      <c r="B106" s="602"/>
      <c r="C106" s="602"/>
      <c r="G106" s="604" t="s">
        <v>900</v>
      </c>
      <c r="H106" s="605" t="s">
        <v>60</v>
      </c>
      <c r="I106" s="605">
        <v>93.8</v>
      </c>
      <c r="J106" s="605">
        <v>87</v>
      </c>
      <c r="K106" s="605">
        <v>28.4</v>
      </c>
      <c r="L106" s="605">
        <f t="shared" si="18"/>
        <v>6.7999999999999972</v>
      </c>
      <c r="M106" s="605">
        <f t="shared" si="18"/>
        <v>58.6</v>
      </c>
      <c r="N106" s="606">
        <f t="shared" si="14"/>
        <v>0.11604095563139927</v>
      </c>
      <c r="O106" s="607"/>
    </row>
    <row r="107" spans="1:15">
      <c r="B107" s="602"/>
      <c r="C107" s="602"/>
      <c r="G107" s="604" t="s">
        <v>394</v>
      </c>
      <c r="H107" s="605" t="s">
        <v>61</v>
      </c>
      <c r="I107" s="605">
        <v>85.1</v>
      </c>
      <c r="J107" s="605">
        <v>79.2</v>
      </c>
      <c r="K107" s="605">
        <v>22.4</v>
      </c>
      <c r="L107" s="605">
        <f t="shared" si="18"/>
        <v>5.8999999999999915</v>
      </c>
      <c r="M107" s="605">
        <f t="shared" si="18"/>
        <v>56.800000000000004</v>
      </c>
      <c r="N107" s="606">
        <f t="shared" si="14"/>
        <v>0.10387323943661957</v>
      </c>
      <c r="O107" s="607"/>
    </row>
    <row r="108" spans="1:15">
      <c r="B108" s="602"/>
      <c r="C108" s="602"/>
      <c r="G108" s="604" t="s">
        <v>405</v>
      </c>
      <c r="H108" s="605" t="s">
        <v>62</v>
      </c>
      <c r="I108" s="605">
        <v>95.3</v>
      </c>
      <c r="J108" s="605">
        <v>90.8</v>
      </c>
      <c r="K108" s="605">
        <v>24.1</v>
      </c>
      <c r="L108" s="605">
        <f t="shared" si="18"/>
        <v>4.5</v>
      </c>
      <c r="M108" s="605">
        <f t="shared" si="18"/>
        <v>66.699999999999989</v>
      </c>
      <c r="N108" s="606">
        <f t="shared" si="14"/>
        <v>6.7466266866566732E-2</v>
      </c>
      <c r="O108" s="607"/>
    </row>
    <row r="109" spans="1:15">
      <c r="A109" s="601">
        <v>42314</v>
      </c>
      <c r="B109" s="602">
        <v>21</v>
      </c>
      <c r="C109" s="602">
        <v>22</v>
      </c>
      <c r="D109" s="603">
        <v>1</v>
      </c>
      <c r="E109" s="603">
        <v>1</v>
      </c>
      <c r="G109" s="604" t="s">
        <v>747</v>
      </c>
      <c r="H109" s="605" t="s">
        <v>59</v>
      </c>
      <c r="I109" s="605">
        <v>95.9</v>
      </c>
      <c r="J109" s="605">
        <v>88.1</v>
      </c>
      <c r="K109" s="605">
        <v>23.6</v>
      </c>
      <c r="L109" s="605">
        <f t="shared" si="18"/>
        <v>7.8000000000000114</v>
      </c>
      <c r="M109" s="605">
        <f t="shared" si="18"/>
        <v>64.5</v>
      </c>
      <c r="N109" s="606">
        <f t="shared" si="14"/>
        <v>0.12093023255813971</v>
      </c>
      <c r="O109" s="607"/>
    </row>
    <row r="110" spans="1:15">
      <c r="B110" s="602"/>
      <c r="C110" s="602"/>
      <c r="G110" s="604" t="s">
        <v>382</v>
      </c>
      <c r="H110" s="604" t="s">
        <v>262</v>
      </c>
      <c r="I110" s="605">
        <v>81</v>
      </c>
      <c r="J110" s="605">
        <v>75.400000000000006</v>
      </c>
      <c r="K110" s="605">
        <v>23.5</v>
      </c>
      <c r="L110" s="605">
        <f t="shared" si="18"/>
        <v>5.5999999999999943</v>
      </c>
      <c r="M110" s="605">
        <f t="shared" si="18"/>
        <v>51.900000000000006</v>
      </c>
      <c r="N110" s="606">
        <f t="shared" si="14"/>
        <v>0.10789980732177251</v>
      </c>
      <c r="O110" s="607"/>
    </row>
    <row r="111" spans="1:15">
      <c r="B111" s="602"/>
      <c r="C111" s="602"/>
      <c r="G111" s="604" t="s">
        <v>263</v>
      </c>
      <c r="H111" s="605" t="s">
        <v>60</v>
      </c>
      <c r="I111" s="605">
        <v>91.2</v>
      </c>
      <c r="J111" s="605">
        <v>84.6</v>
      </c>
      <c r="K111" s="605">
        <v>23</v>
      </c>
      <c r="L111" s="605">
        <f t="shared" si="18"/>
        <v>6.6000000000000085</v>
      </c>
      <c r="M111" s="605">
        <f t="shared" si="18"/>
        <v>61.599999999999994</v>
      </c>
      <c r="N111" s="606">
        <f t="shared" si="14"/>
        <v>0.10714285714285729</v>
      </c>
      <c r="O111" s="607"/>
    </row>
    <row r="112" spans="1:15">
      <c r="B112" s="602"/>
      <c r="C112" s="602"/>
      <c r="G112" s="604" t="s">
        <v>901</v>
      </c>
      <c r="H112" s="605" t="s">
        <v>61</v>
      </c>
      <c r="I112" s="605">
        <v>87.5</v>
      </c>
      <c r="J112" s="605">
        <v>81</v>
      </c>
      <c r="K112" s="605">
        <v>22.5</v>
      </c>
      <c r="L112" s="605">
        <f t="shared" si="18"/>
        <v>6.5</v>
      </c>
      <c r="M112" s="605">
        <f t="shared" si="18"/>
        <v>58.5</v>
      </c>
      <c r="N112" s="606">
        <f t="shared" si="14"/>
        <v>0.1111111111111111</v>
      </c>
      <c r="O112" s="607"/>
    </row>
    <row r="113" spans="1:15">
      <c r="B113" s="602"/>
      <c r="C113" s="602"/>
      <c r="G113" s="604" t="s">
        <v>902</v>
      </c>
      <c r="H113" s="605" t="s">
        <v>62</v>
      </c>
      <c r="I113" s="605">
        <v>91.7</v>
      </c>
      <c r="J113" s="605">
        <v>84.5</v>
      </c>
      <c r="K113" s="605">
        <v>22.3</v>
      </c>
      <c r="L113" s="605">
        <f t="shared" si="18"/>
        <v>7.2000000000000028</v>
      </c>
      <c r="M113" s="605">
        <f t="shared" si="18"/>
        <v>62.2</v>
      </c>
      <c r="N113" s="606">
        <f t="shared" si="14"/>
        <v>0.11575562700964634</v>
      </c>
      <c r="O113" s="607"/>
    </row>
    <row r="114" spans="1:15">
      <c r="A114" s="601">
        <v>42314</v>
      </c>
      <c r="B114" s="602">
        <v>23</v>
      </c>
      <c r="C114" s="602">
        <v>23</v>
      </c>
      <c r="D114" s="603">
        <v>1</v>
      </c>
      <c r="E114" s="603">
        <v>1</v>
      </c>
      <c r="G114" s="604" t="s">
        <v>903</v>
      </c>
      <c r="H114" s="605" t="s">
        <v>59</v>
      </c>
      <c r="I114" s="605">
        <v>94</v>
      </c>
      <c r="J114" s="605">
        <v>84.1</v>
      </c>
      <c r="K114" s="605">
        <v>22.3</v>
      </c>
      <c r="L114" s="605">
        <f t="shared" si="18"/>
        <v>9.9000000000000057</v>
      </c>
      <c r="M114" s="605">
        <f t="shared" si="18"/>
        <v>61.8</v>
      </c>
      <c r="N114" s="606">
        <f t="shared" si="14"/>
        <v>0.16019417475728165</v>
      </c>
      <c r="O114" s="607"/>
    </row>
    <row r="115" spans="1:15">
      <c r="B115" s="602"/>
      <c r="C115" s="602"/>
      <c r="G115" s="604" t="s">
        <v>904</v>
      </c>
      <c r="H115" s="604" t="s">
        <v>262</v>
      </c>
      <c r="I115" s="605">
        <v>78.099999999999994</v>
      </c>
      <c r="J115" s="605">
        <v>70.400000000000006</v>
      </c>
      <c r="K115" s="605">
        <v>20</v>
      </c>
      <c r="L115" s="605">
        <f t="shared" si="18"/>
        <v>7.6999999999999886</v>
      </c>
      <c r="M115" s="605">
        <f t="shared" si="18"/>
        <v>50.400000000000006</v>
      </c>
      <c r="N115" s="606">
        <f t="shared" si="14"/>
        <v>0.15277777777777754</v>
      </c>
      <c r="O115" s="607"/>
    </row>
    <row r="116" spans="1:15">
      <c r="B116" s="602"/>
      <c r="C116" s="602"/>
      <c r="G116" s="604" t="s">
        <v>412</v>
      </c>
      <c r="H116" s="605" t="s">
        <v>60</v>
      </c>
      <c r="I116" s="605">
        <v>91.8</v>
      </c>
      <c r="J116" s="605">
        <v>83.7</v>
      </c>
      <c r="K116" s="605">
        <v>23.7</v>
      </c>
      <c r="L116" s="605">
        <f t="shared" si="18"/>
        <v>8.0999999999999943</v>
      </c>
      <c r="M116" s="605">
        <f t="shared" si="18"/>
        <v>60</v>
      </c>
      <c r="N116" s="606">
        <f t="shared" si="14"/>
        <v>0.1349999999999999</v>
      </c>
      <c r="O116" s="607"/>
    </row>
    <row r="117" spans="1:15">
      <c r="B117" s="602"/>
      <c r="C117" s="602"/>
      <c r="G117" s="604" t="s">
        <v>905</v>
      </c>
      <c r="H117" s="605" t="s">
        <v>61</v>
      </c>
      <c r="I117" s="605">
        <v>104.3</v>
      </c>
      <c r="J117" s="605">
        <v>94.7</v>
      </c>
      <c r="K117" s="605">
        <v>23.7</v>
      </c>
      <c r="L117" s="605">
        <f t="shared" si="18"/>
        <v>9.5999999999999943</v>
      </c>
      <c r="M117" s="605">
        <f t="shared" si="18"/>
        <v>71</v>
      </c>
      <c r="N117" s="606">
        <f t="shared" si="14"/>
        <v>0.13521126760563373</v>
      </c>
      <c r="O117" s="607"/>
    </row>
    <row r="118" spans="1:15">
      <c r="B118" s="602"/>
      <c r="C118" s="602"/>
      <c r="G118" s="604" t="s">
        <v>906</v>
      </c>
      <c r="H118" s="605" t="s">
        <v>62</v>
      </c>
      <c r="I118" s="605">
        <v>100.4</v>
      </c>
      <c r="J118" s="605">
        <v>93.1</v>
      </c>
      <c r="K118" s="605">
        <v>23.2</v>
      </c>
      <c r="L118" s="605">
        <f t="shared" si="18"/>
        <v>7.3000000000000114</v>
      </c>
      <c r="M118" s="605">
        <f t="shared" si="18"/>
        <v>69.899999999999991</v>
      </c>
      <c r="N118" s="606">
        <f t="shared" si="14"/>
        <v>0.10443490701001448</v>
      </c>
      <c r="O118" s="607"/>
    </row>
    <row r="119" spans="1:15">
      <c r="A119" s="601">
        <v>42314</v>
      </c>
      <c r="B119" s="602">
        <v>24</v>
      </c>
      <c r="C119" s="602">
        <v>24</v>
      </c>
      <c r="D119" s="603">
        <v>1</v>
      </c>
      <c r="E119" s="603">
        <v>1</v>
      </c>
      <c r="G119" s="604" t="s">
        <v>692</v>
      </c>
      <c r="H119" s="605" t="s">
        <v>59</v>
      </c>
      <c r="I119" s="605">
        <v>103</v>
      </c>
      <c r="J119" s="605">
        <v>93.3</v>
      </c>
      <c r="K119" s="605">
        <v>26.8</v>
      </c>
      <c r="L119" s="605">
        <f t="shared" si="18"/>
        <v>9.7000000000000028</v>
      </c>
      <c r="M119" s="605">
        <f t="shared" si="18"/>
        <v>66.5</v>
      </c>
      <c r="N119" s="606">
        <f t="shared" si="14"/>
        <v>0.14586466165413539</v>
      </c>
      <c r="O119" s="607"/>
    </row>
    <row r="120" spans="1:15">
      <c r="B120" s="602"/>
      <c r="C120" s="602"/>
      <c r="G120" s="604" t="s">
        <v>387</v>
      </c>
      <c r="H120" s="604" t="s">
        <v>262</v>
      </c>
      <c r="I120" s="605">
        <v>99.5</v>
      </c>
      <c r="J120" s="605">
        <v>90</v>
      </c>
      <c r="K120" s="605">
        <v>21.7</v>
      </c>
      <c r="L120" s="605">
        <f t="shared" si="18"/>
        <v>9.5</v>
      </c>
      <c r="M120" s="605">
        <f t="shared" si="18"/>
        <v>68.3</v>
      </c>
      <c r="N120" s="606">
        <f t="shared" si="14"/>
        <v>0.13909224011713031</v>
      </c>
      <c r="O120" s="607"/>
    </row>
    <row r="121" spans="1:15">
      <c r="B121" s="602"/>
      <c r="C121" s="602"/>
      <c r="G121" s="604" t="s">
        <v>373</v>
      </c>
      <c r="H121" s="605" t="s">
        <v>60</v>
      </c>
      <c r="I121" s="605">
        <v>89.1</v>
      </c>
      <c r="J121" s="605">
        <v>81.099999999999994</v>
      </c>
      <c r="K121" s="605">
        <v>23.6</v>
      </c>
      <c r="L121" s="605">
        <f t="shared" si="18"/>
        <v>8</v>
      </c>
      <c r="M121" s="605">
        <f t="shared" si="18"/>
        <v>57.499999999999993</v>
      </c>
      <c r="N121" s="606">
        <f t="shared" si="14"/>
        <v>0.13913043478260873</v>
      </c>
      <c r="O121" s="607"/>
    </row>
    <row r="122" spans="1:15">
      <c r="B122" s="602"/>
      <c r="C122" s="602"/>
      <c r="G122" s="604" t="s">
        <v>907</v>
      </c>
      <c r="H122" s="605" t="s">
        <v>61</v>
      </c>
      <c r="I122" s="605">
        <v>90.6</v>
      </c>
      <c r="J122" s="605">
        <v>82.4</v>
      </c>
      <c r="K122" s="605">
        <v>21.7</v>
      </c>
      <c r="L122" s="605">
        <f t="shared" si="18"/>
        <v>8.1999999999999886</v>
      </c>
      <c r="M122" s="605">
        <f t="shared" si="18"/>
        <v>60.7</v>
      </c>
      <c r="N122" s="606">
        <f t="shared" si="14"/>
        <v>0.13509060955518926</v>
      </c>
      <c r="O122" s="607"/>
    </row>
    <row r="123" spans="1:15">
      <c r="B123" s="602"/>
      <c r="C123" s="602"/>
      <c r="G123" s="604" t="s">
        <v>681</v>
      </c>
      <c r="H123" s="605" t="s">
        <v>62</v>
      </c>
      <c r="I123" s="605">
        <v>83.6</v>
      </c>
      <c r="J123" s="605">
        <v>76.8</v>
      </c>
      <c r="K123" s="605">
        <v>22.6</v>
      </c>
      <c r="L123" s="605">
        <f t="shared" si="18"/>
        <v>6.7999999999999972</v>
      </c>
      <c r="M123" s="605">
        <f t="shared" si="18"/>
        <v>54.199999999999996</v>
      </c>
      <c r="N123" s="606">
        <f t="shared" si="14"/>
        <v>0.12546125461254609</v>
      </c>
      <c r="O123" s="607"/>
    </row>
    <row r="124" spans="1:15">
      <c r="B124" s="602"/>
      <c r="C124" s="602"/>
    </row>
    <row r="127" spans="1:15">
      <c r="G127" s="604"/>
      <c r="H127" s="605"/>
      <c r="J127" s="605"/>
      <c r="K127" s="605"/>
    </row>
    <row r="128" spans="1:15">
      <c r="G128" s="604"/>
      <c r="H128" s="605"/>
      <c r="J128" s="605"/>
      <c r="K128" s="605"/>
    </row>
    <row r="131" spans="7:11">
      <c r="G131" s="604"/>
      <c r="H131" s="605"/>
      <c r="J131" s="605"/>
      <c r="K131" s="605"/>
    </row>
  </sheetData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29"/>
  <sheetViews>
    <sheetView topLeftCell="A106" workbookViewId="0">
      <selection activeCell="G29" sqref="G29"/>
    </sheetView>
  </sheetViews>
  <sheetFormatPr defaultRowHeight="15"/>
  <cols>
    <col min="1" max="1" width="10.7109375" style="168" bestFit="1" customWidth="1"/>
    <col min="2" max="2" width="9.140625" style="171"/>
    <col min="3" max="3" width="11.85546875" style="171" customWidth="1"/>
    <col min="4" max="4" width="9.140625" style="168"/>
    <col min="5" max="5" width="14.28515625" style="171" customWidth="1"/>
    <col min="6" max="6" width="9.140625" style="168"/>
    <col min="7" max="7" width="9.140625" style="171"/>
    <col min="8" max="8" width="9.140625" style="168"/>
    <col min="9" max="9" width="13.42578125" style="168" customWidth="1"/>
    <col min="10" max="11" width="9.140625" style="168" customWidth="1"/>
    <col min="12" max="12" width="13.85546875" style="168" customWidth="1"/>
    <col min="13" max="13" width="16.140625" style="168" customWidth="1"/>
    <col min="14" max="16384" width="9.140625" style="168"/>
  </cols>
  <sheetData>
    <row r="1" spans="1:20">
      <c r="A1" s="179">
        <v>42295</v>
      </c>
      <c r="C1" s="188" t="s">
        <v>370</v>
      </c>
    </row>
    <row r="2" spans="1:20" ht="49.5" customHeight="1">
      <c r="A2" s="180" t="s">
        <v>228</v>
      </c>
      <c r="B2" s="180" t="s">
        <v>229</v>
      </c>
      <c r="C2" s="180" t="s">
        <v>230</v>
      </c>
      <c r="D2" s="180" t="s">
        <v>231</v>
      </c>
      <c r="E2" s="180" t="s">
        <v>232</v>
      </c>
      <c r="F2" s="180" t="s">
        <v>233</v>
      </c>
      <c r="G2" s="180" t="s">
        <v>234</v>
      </c>
      <c r="H2" s="180" t="s">
        <v>235</v>
      </c>
      <c r="I2" s="180" t="s">
        <v>236</v>
      </c>
      <c r="J2" s="180" t="s">
        <v>237</v>
      </c>
      <c r="K2" s="180" t="s">
        <v>238</v>
      </c>
      <c r="L2" s="180" t="s">
        <v>239</v>
      </c>
      <c r="M2" s="180" t="s">
        <v>239</v>
      </c>
      <c r="R2" s="168" t="s">
        <v>239</v>
      </c>
    </row>
    <row r="3" spans="1:20" ht="49.5" customHeight="1">
      <c r="A3" s="180" t="s">
        <v>13</v>
      </c>
      <c r="B3" s="180" t="s">
        <v>242</v>
      </c>
      <c r="C3" s="180" t="s">
        <v>243</v>
      </c>
      <c r="D3" s="180" t="s">
        <v>244</v>
      </c>
      <c r="E3" s="189" t="s">
        <v>245</v>
      </c>
      <c r="F3" s="190" t="s">
        <v>246</v>
      </c>
      <c r="G3" s="190" t="s">
        <v>247</v>
      </c>
      <c r="H3" s="190" t="s">
        <v>248</v>
      </c>
      <c r="I3" s="190" t="s">
        <v>249</v>
      </c>
      <c r="J3" s="190" t="s">
        <v>250</v>
      </c>
      <c r="K3" s="190" t="s">
        <v>251</v>
      </c>
      <c r="L3" s="180" t="s">
        <v>252</v>
      </c>
      <c r="M3" s="180" t="s">
        <v>255</v>
      </c>
      <c r="R3" s="168" t="s">
        <v>252</v>
      </c>
    </row>
    <row r="4" spans="1:20">
      <c r="A4" s="191" t="s">
        <v>417</v>
      </c>
      <c r="B4" s="192">
        <v>1</v>
      </c>
      <c r="C4" s="192">
        <v>1</v>
      </c>
      <c r="D4" s="193"/>
      <c r="E4" s="194" t="s">
        <v>418</v>
      </c>
      <c r="F4" s="194" t="s">
        <v>59</v>
      </c>
      <c r="G4" s="192">
        <v>71.7</v>
      </c>
      <c r="H4" s="192">
        <v>65.8</v>
      </c>
      <c r="I4" s="192">
        <v>20.399999999999999</v>
      </c>
      <c r="J4" s="192">
        <f t="shared" ref="J4:K19" si="0">G4-H4</f>
        <v>5.9000000000000057</v>
      </c>
      <c r="K4" s="192">
        <f t="shared" si="0"/>
        <v>45.4</v>
      </c>
      <c r="L4" s="195">
        <f t="shared" ref="L4:L67" si="1">J4/K4</f>
        <v>0.129955947136564</v>
      </c>
      <c r="M4" s="224"/>
      <c r="N4" s="175">
        <f>L4/0.2</f>
        <v>0.64977973568281999</v>
      </c>
      <c r="O4" s="168">
        <v>18.23</v>
      </c>
      <c r="P4" s="168">
        <v>16.29</v>
      </c>
      <c r="R4" s="168">
        <v>0.129955947136564</v>
      </c>
      <c r="S4" s="168">
        <v>18.23</v>
      </c>
      <c r="T4" s="168">
        <v>16.29</v>
      </c>
    </row>
    <row r="5" spans="1:20">
      <c r="A5" s="196"/>
      <c r="B5" s="197"/>
      <c r="C5" s="197" t="s">
        <v>419</v>
      </c>
      <c r="D5" s="198"/>
      <c r="E5" s="199" t="s">
        <v>420</v>
      </c>
      <c r="F5" s="199" t="s">
        <v>262</v>
      </c>
      <c r="G5" s="197">
        <v>92</v>
      </c>
      <c r="H5" s="197">
        <v>83.7</v>
      </c>
      <c r="I5" s="197">
        <v>22</v>
      </c>
      <c r="J5" s="197">
        <f t="shared" si="0"/>
        <v>8.2999999999999972</v>
      </c>
      <c r="K5" s="197">
        <f t="shared" si="0"/>
        <v>61.7</v>
      </c>
      <c r="L5" s="200">
        <f t="shared" si="1"/>
        <v>0.13452188006482976</v>
      </c>
      <c r="M5" s="225"/>
      <c r="N5" s="175">
        <f t="shared" ref="N5:N13" si="2">L5/0.2</f>
        <v>0.67260940032414873</v>
      </c>
      <c r="O5" s="168">
        <v>20.63</v>
      </c>
      <c r="P5" s="168">
        <v>18.98</v>
      </c>
      <c r="R5" s="168">
        <v>0.13452188006482976</v>
      </c>
      <c r="S5" s="168">
        <v>20.63</v>
      </c>
      <c r="T5" s="168">
        <v>18.98</v>
      </c>
    </row>
    <row r="6" spans="1:20">
      <c r="A6" s="196"/>
      <c r="B6" s="197"/>
      <c r="C6" s="197"/>
      <c r="D6" s="198"/>
      <c r="E6" s="199" t="s">
        <v>421</v>
      </c>
      <c r="F6" s="226" t="s">
        <v>60</v>
      </c>
      <c r="G6" s="227">
        <v>50.1</v>
      </c>
      <c r="H6" s="227">
        <v>45.6</v>
      </c>
      <c r="I6" s="227">
        <v>19.399999999999999</v>
      </c>
      <c r="J6" s="227">
        <f t="shared" si="0"/>
        <v>4.5</v>
      </c>
      <c r="K6" s="227">
        <f t="shared" si="0"/>
        <v>26.200000000000003</v>
      </c>
      <c r="L6" s="228">
        <f t="shared" si="1"/>
        <v>0.17175572519083968</v>
      </c>
      <c r="M6" s="229"/>
      <c r="N6" s="230">
        <f t="shared" si="2"/>
        <v>0.85877862595419829</v>
      </c>
      <c r="O6" s="168">
        <v>19.61</v>
      </c>
      <c r="P6" s="231">
        <v>20.21</v>
      </c>
      <c r="R6" s="168">
        <v>0.17175572519083968</v>
      </c>
      <c r="S6" s="168">
        <v>19.61</v>
      </c>
      <c r="T6" s="168">
        <v>20.21</v>
      </c>
    </row>
    <row r="7" spans="1:20">
      <c r="A7" s="196"/>
      <c r="B7" s="197"/>
      <c r="C7" s="197"/>
      <c r="D7" s="198"/>
      <c r="E7" s="226" t="s">
        <v>422</v>
      </c>
      <c r="F7" s="226" t="s">
        <v>61</v>
      </c>
      <c r="G7" s="227">
        <v>82.6</v>
      </c>
      <c r="H7" s="232">
        <v>75.2</v>
      </c>
      <c r="I7" s="232">
        <v>21.7</v>
      </c>
      <c r="J7" s="232">
        <f t="shared" si="0"/>
        <v>7.3999999999999915</v>
      </c>
      <c r="K7" s="232">
        <f t="shared" si="0"/>
        <v>53.5</v>
      </c>
      <c r="L7" s="233">
        <f t="shared" si="1"/>
        <v>0.13831775700934565</v>
      </c>
      <c r="M7" s="229"/>
      <c r="N7" s="230">
        <f t="shared" si="2"/>
        <v>0.69158878504672816</v>
      </c>
      <c r="O7" s="168">
        <v>20.420000000000002</v>
      </c>
      <c r="P7" s="231">
        <v>19.32</v>
      </c>
      <c r="R7" s="168">
        <v>0.13831775700934565</v>
      </c>
      <c r="S7" s="168">
        <v>20.420000000000002</v>
      </c>
      <c r="T7" s="168">
        <v>19.32</v>
      </c>
    </row>
    <row r="8" spans="1:20">
      <c r="A8" s="201"/>
      <c r="B8" s="202"/>
      <c r="C8" s="202"/>
      <c r="D8" s="203"/>
      <c r="E8" s="204" t="s">
        <v>423</v>
      </c>
      <c r="F8" s="260" t="s">
        <v>62</v>
      </c>
      <c r="G8" s="260">
        <v>86</v>
      </c>
      <c r="H8" s="260">
        <v>79.3</v>
      </c>
      <c r="I8" s="260">
        <v>23</v>
      </c>
      <c r="J8" s="260">
        <f t="shared" si="0"/>
        <v>6.7000000000000028</v>
      </c>
      <c r="K8" s="260">
        <f t="shared" si="0"/>
        <v>56.3</v>
      </c>
      <c r="L8" s="261">
        <f t="shared" si="1"/>
        <v>0.11900532859680289</v>
      </c>
      <c r="M8" s="262"/>
      <c r="N8" s="230">
        <f>L8/0.2</f>
        <v>0.59502664298401442</v>
      </c>
      <c r="O8" s="168">
        <v>18.59</v>
      </c>
      <c r="P8" s="231">
        <v>18.55</v>
      </c>
      <c r="R8" s="168">
        <v>0.11900532859680289</v>
      </c>
      <c r="S8" s="168">
        <v>18.59</v>
      </c>
      <c r="T8" s="168">
        <v>18.55</v>
      </c>
    </row>
    <row r="9" spans="1:20">
      <c r="A9" s="196"/>
      <c r="B9" s="197"/>
      <c r="C9" s="197"/>
      <c r="D9" s="198"/>
      <c r="E9" s="199" t="s">
        <v>424</v>
      </c>
      <c r="F9" s="194" t="s">
        <v>59</v>
      </c>
      <c r="G9" s="227">
        <v>65.5</v>
      </c>
      <c r="H9" s="227">
        <v>59.8</v>
      </c>
      <c r="I9" s="227">
        <v>20.7</v>
      </c>
      <c r="J9" s="227">
        <f t="shared" si="0"/>
        <v>5.7000000000000028</v>
      </c>
      <c r="K9" s="227">
        <f t="shared" si="0"/>
        <v>39.099999999999994</v>
      </c>
      <c r="L9" s="228">
        <f>J9/K9</f>
        <v>0.14578005115089523</v>
      </c>
      <c r="M9" s="229"/>
      <c r="N9" s="230">
        <f t="shared" si="2"/>
        <v>0.72890025575447615</v>
      </c>
      <c r="O9" s="168">
        <v>13.9</v>
      </c>
      <c r="P9" s="231">
        <v>12.26</v>
      </c>
      <c r="R9" s="168">
        <v>0.14578005115089523</v>
      </c>
      <c r="S9" s="168">
        <v>13.9</v>
      </c>
      <c r="T9" s="168">
        <v>12.26</v>
      </c>
    </row>
    <row r="10" spans="1:20">
      <c r="A10" s="196"/>
      <c r="B10" s="197">
        <v>1</v>
      </c>
      <c r="C10" s="197" t="s">
        <v>425</v>
      </c>
      <c r="D10" s="198"/>
      <c r="E10" s="199" t="s">
        <v>426</v>
      </c>
      <c r="F10" s="199" t="s">
        <v>262</v>
      </c>
      <c r="G10" s="227">
        <v>72</v>
      </c>
      <c r="H10" s="227">
        <v>65.400000000000006</v>
      </c>
      <c r="I10" s="227">
        <v>22.5</v>
      </c>
      <c r="J10" s="227">
        <f t="shared" si="0"/>
        <v>6.5999999999999943</v>
      </c>
      <c r="K10" s="227">
        <f t="shared" si="0"/>
        <v>42.900000000000006</v>
      </c>
      <c r="L10" s="228">
        <f t="shared" si="1"/>
        <v>0.15384615384615369</v>
      </c>
      <c r="M10" s="229"/>
      <c r="N10" s="230">
        <f t="shared" si="2"/>
        <v>0.76923076923076839</v>
      </c>
      <c r="O10" s="168">
        <v>19.05</v>
      </c>
      <c r="P10" s="231">
        <v>18.12</v>
      </c>
      <c r="R10" s="168">
        <v>0.15384615384615369</v>
      </c>
      <c r="S10" s="168">
        <v>19.05</v>
      </c>
      <c r="T10" s="168">
        <v>18.12</v>
      </c>
    </row>
    <row r="11" spans="1:20">
      <c r="A11" s="196"/>
      <c r="B11" s="197"/>
      <c r="C11" s="197"/>
      <c r="D11" s="198"/>
      <c r="E11" s="226" t="s">
        <v>285</v>
      </c>
      <c r="F11" s="226" t="s">
        <v>60</v>
      </c>
      <c r="G11" s="227">
        <v>83.3</v>
      </c>
      <c r="H11" s="227">
        <v>73.5</v>
      </c>
      <c r="I11" s="227">
        <v>23.2</v>
      </c>
      <c r="J11" s="227">
        <f t="shared" si="0"/>
        <v>9.7999999999999972</v>
      </c>
      <c r="K11" s="227">
        <f t="shared" si="0"/>
        <v>50.3</v>
      </c>
      <c r="L11" s="228">
        <f t="shared" si="1"/>
        <v>0.19483101391650096</v>
      </c>
      <c r="M11" s="229"/>
      <c r="N11" s="230">
        <f t="shared" si="2"/>
        <v>0.97415506958250475</v>
      </c>
      <c r="O11" s="168">
        <v>18.690000000000001</v>
      </c>
      <c r="P11" s="231">
        <v>20</v>
      </c>
      <c r="R11" s="168">
        <v>0.19483101391650096</v>
      </c>
      <c r="S11" s="168">
        <v>18.690000000000001</v>
      </c>
      <c r="T11" s="168">
        <v>20</v>
      </c>
    </row>
    <row r="12" spans="1:20">
      <c r="A12" s="196"/>
      <c r="B12" s="197"/>
      <c r="C12" s="197"/>
      <c r="D12" s="198"/>
      <c r="E12" s="199" t="s">
        <v>427</v>
      </c>
      <c r="F12" s="226" t="s">
        <v>61</v>
      </c>
      <c r="G12" s="227">
        <v>86.6</v>
      </c>
      <c r="H12" s="227">
        <v>76.400000000000006</v>
      </c>
      <c r="I12" s="227">
        <v>22.6</v>
      </c>
      <c r="J12" s="227">
        <f t="shared" si="0"/>
        <v>10.199999999999989</v>
      </c>
      <c r="K12" s="227">
        <f t="shared" si="0"/>
        <v>53.800000000000004</v>
      </c>
      <c r="L12" s="228">
        <f t="shared" si="1"/>
        <v>0.18959107806691428</v>
      </c>
      <c r="M12" s="229"/>
      <c r="N12" s="230">
        <f>L12/0.2</f>
        <v>0.94795539033457132</v>
      </c>
      <c r="O12" s="168">
        <v>20.28</v>
      </c>
      <c r="P12" s="231">
        <v>20.91</v>
      </c>
      <c r="R12" s="168">
        <v>0.18959107806691428</v>
      </c>
      <c r="S12" s="168">
        <v>20.28</v>
      </c>
      <c r="T12" s="168">
        <v>20.91</v>
      </c>
    </row>
    <row r="13" spans="1:20">
      <c r="A13" s="201"/>
      <c r="B13" s="202"/>
      <c r="C13" s="202"/>
      <c r="D13" s="203"/>
      <c r="E13" s="204" t="s">
        <v>428</v>
      </c>
      <c r="F13" s="260" t="s">
        <v>62</v>
      </c>
      <c r="G13" s="260">
        <v>84.4</v>
      </c>
      <c r="H13" s="260">
        <v>77</v>
      </c>
      <c r="I13" s="260">
        <v>24.9</v>
      </c>
      <c r="J13" s="260">
        <f t="shared" si="0"/>
        <v>7.4000000000000057</v>
      </c>
      <c r="K13" s="260">
        <f t="shared" si="0"/>
        <v>52.1</v>
      </c>
      <c r="L13" s="261">
        <f t="shared" si="1"/>
        <v>0.14203454894433792</v>
      </c>
      <c r="M13" s="262"/>
      <c r="N13" s="230">
        <f t="shared" si="2"/>
        <v>0.71017274472168956</v>
      </c>
      <c r="O13" s="168">
        <v>20.99</v>
      </c>
      <c r="P13" s="231">
        <v>21.19</v>
      </c>
      <c r="R13" s="168">
        <v>0.14203454894433792</v>
      </c>
      <c r="S13" s="168">
        <v>20.99</v>
      </c>
      <c r="T13" s="168">
        <v>21.19</v>
      </c>
    </row>
    <row r="14" spans="1:20">
      <c r="A14" s="191" t="s">
        <v>417</v>
      </c>
      <c r="B14" s="192">
        <v>1</v>
      </c>
      <c r="C14" s="192">
        <v>1</v>
      </c>
      <c r="D14" s="193"/>
      <c r="E14" s="194" t="s">
        <v>429</v>
      </c>
      <c r="F14" s="234" t="s">
        <v>59</v>
      </c>
      <c r="G14" s="235">
        <v>82.7</v>
      </c>
      <c r="H14" s="235">
        <v>77.3</v>
      </c>
      <c r="I14" s="235">
        <v>22.6</v>
      </c>
      <c r="J14" s="235">
        <f t="shared" si="0"/>
        <v>5.4000000000000057</v>
      </c>
      <c r="K14" s="235">
        <f t="shared" si="0"/>
        <v>54.699999999999996</v>
      </c>
      <c r="L14" s="236">
        <f t="shared" si="1"/>
        <v>9.8720292504570498E-2</v>
      </c>
      <c r="M14" s="237"/>
      <c r="N14" s="230">
        <f>L14/0.2</f>
        <v>0.49360146252285247</v>
      </c>
      <c r="O14" s="168">
        <v>7.73</v>
      </c>
      <c r="P14" s="231">
        <v>3.06</v>
      </c>
      <c r="R14" s="168">
        <v>9.8720292504570498E-2</v>
      </c>
      <c r="S14" s="168">
        <v>7.73</v>
      </c>
      <c r="T14" s="168">
        <v>3.06</v>
      </c>
    </row>
    <row r="15" spans="1:20">
      <c r="A15" s="196"/>
      <c r="B15" s="197"/>
      <c r="C15" s="197"/>
      <c r="D15" s="198"/>
      <c r="E15" s="199" t="s">
        <v>430</v>
      </c>
      <c r="F15" s="226" t="s">
        <v>262</v>
      </c>
      <c r="G15" s="227">
        <v>83.9</v>
      </c>
      <c r="H15" s="227">
        <v>77.400000000000006</v>
      </c>
      <c r="I15" s="227">
        <v>22.1</v>
      </c>
      <c r="J15" s="227">
        <f t="shared" si="0"/>
        <v>6.5</v>
      </c>
      <c r="K15" s="227">
        <f t="shared" si="0"/>
        <v>55.300000000000004</v>
      </c>
      <c r="L15" s="228">
        <f t="shared" si="1"/>
        <v>0.11754068716094032</v>
      </c>
      <c r="M15" s="229"/>
      <c r="N15" s="230">
        <f t="shared" ref="N15:N23" si="3">L15/0.2</f>
        <v>0.58770343580470152</v>
      </c>
      <c r="O15" s="168">
        <v>15.52</v>
      </c>
      <c r="P15" s="231">
        <v>15.19</v>
      </c>
      <c r="R15" s="168">
        <v>0.11754068716094032</v>
      </c>
      <c r="S15" s="168">
        <v>15.52</v>
      </c>
      <c r="T15" s="168">
        <v>15.19</v>
      </c>
    </row>
    <row r="16" spans="1:20">
      <c r="A16" s="196"/>
      <c r="B16" s="197"/>
      <c r="C16" s="197" t="s">
        <v>431</v>
      </c>
      <c r="D16" s="198"/>
      <c r="E16" s="199" t="s">
        <v>432</v>
      </c>
      <c r="F16" s="226" t="s">
        <v>60</v>
      </c>
      <c r="G16" s="227">
        <v>96</v>
      </c>
      <c r="H16" s="227">
        <v>89.8</v>
      </c>
      <c r="I16" s="227">
        <v>37</v>
      </c>
      <c r="J16" s="227">
        <f t="shared" si="0"/>
        <v>6.2000000000000028</v>
      </c>
      <c r="K16" s="227">
        <f t="shared" si="0"/>
        <v>52.8</v>
      </c>
      <c r="L16" s="228">
        <f t="shared" si="1"/>
        <v>0.11742424242424249</v>
      </c>
      <c r="M16" s="229"/>
      <c r="N16" s="230">
        <f t="shared" si="3"/>
        <v>0.58712121212121238</v>
      </c>
      <c r="O16" s="168">
        <v>18.32</v>
      </c>
      <c r="P16" s="231">
        <v>18.68</v>
      </c>
      <c r="R16" s="168">
        <v>0.11742424242424249</v>
      </c>
      <c r="S16" s="168">
        <v>18.32</v>
      </c>
      <c r="T16" s="168">
        <v>18.68</v>
      </c>
    </row>
    <row r="17" spans="1:20">
      <c r="A17" s="196"/>
      <c r="B17" s="197"/>
      <c r="C17" s="197"/>
      <c r="D17" s="198"/>
      <c r="E17" s="199" t="s">
        <v>433</v>
      </c>
      <c r="F17" s="226" t="s">
        <v>61</v>
      </c>
      <c r="G17" s="227">
        <v>77.8</v>
      </c>
      <c r="H17" s="227">
        <v>71.599999999999994</v>
      </c>
      <c r="I17" s="227">
        <v>22.4</v>
      </c>
      <c r="J17" s="227">
        <f t="shared" si="0"/>
        <v>6.2000000000000028</v>
      </c>
      <c r="K17" s="227">
        <f t="shared" si="0"/>
        <v>49.199999999999996</v>
      </c>
      <c r="L17" s="228">
        <f t="shared" si="1"/>
        <v>0.1260162601626017</v>
      </c>
      <c r="M17" s="229"/>
      <c r="N17" s="230">
        <f t="shared" si="3"/>
        <v>0.6300813008130085</v>
      </c>
      <c r="O17" s="168">
        <v>17.940000000000001</v>
      </c>
      <c r="P17" s="231">
        <v>18.14</v>
      </c>
      <c r="R17" s="168">
        <v>0.1260162601626017</v>
      </c>
      <c r="S17" s="168">
        <v>17.940000000000001</v>
      </c>
      <c r="T17" s="168">
        <v>18.14</v>
      </c>
    </row>
    <row r="18" spans="1:20">
      <c r="A18" s="201"/>
      <c r="B18" s="202"/>
      <c r="C18" s="202"/>
      <c r="D18" s="203"/>
      <c r="E18" s="204" t="s">
        <v>434</v>
      </c>
      <c r="F18" s="260" t="s">
        <v>62</v>
      </c>
      <c r="G18" s="260">
        <v>85.6</v>
      </c>
      <c r="H18" s="260">
        <v>79.099999999999994</v>
      </c>
      <c r="I18" s="260">
        <v>23.4</v>
      </c>
      <c r="J18" s="260">
        <f t="shared" si="0"/>
        <v>6.5</v>
      </c>
      <c r="K18" s="260">
        <f t="shared" si="0"/>
        <v>55.699999999999996</v>
      </c>
      <c r="L18" s="261">
        <f t="shared" si="1"/>
        <v>0.11669658886894076</v>
      </c>
      <c r="M18" s="262"/>
      <c r="N18" s="230">
        <f t="shared" si="3"/>
        <v>0.58348294434470371</v>
      </c>
      <c r="O18" s="168">
        <v>19.95</v>
      </c>
      <c r="P18" s="231">
        <v>19.829999999999998</v>
      </c>
      <c r="R18" s="168">
        <v>0.11669658886894076</v>
      </c>
      <c r="S18" s="168">
        <v>19.95</v>
      </c>
      <c r="T18" s="168">
        <v>19.829999999999998</v>
      </c>
    </row>
    <row r="19" spans="1:20">
      <c r="A19" s="196"/>
      <c r="B19" s="197"/>
      <c r="C19" s="197"/>
      <c r="D19" s="198"/>
      <c r="E19" s="199" t="s">
        <v>435</v>
      </c>
      <c r="F19" s="194" t="s">
        <v>59</v>
      </c>
      <c r="G19" s="227">
        <v>89.6</v>
      </c>
      <c r="H19" s="227">
        <v>84.9</v>
      </c>
      <c r="I19" s="227">
        <v>21</v>
      </c>
      <c r="J19" s="227">
        <f t="shared" si="0"/>
        <v>4.6999999999999886</v>
      </c>
      <c r="K19" s="227">
        <f t="shared" si="0"/>
        <v>63.900000000000006</v>
      </c>
      <c r="L19" s="228">
        <f t="shared" si="1"/>
        <v>7.3552425665101534E-2</v>
      </c>
      <c r="M19" s="229"/>
      <c r="N19" s="230">
        <f t="shared" si="3"/>
        <v>0.36776212832550764</v>
      </c>
      <c r="O19" s="168">
        <v>4.4800000000000004</v>
      </c>
      <c r="P19" s="231">
        <v>3.5</v>
      </c>
      <c r="R19" s="228">
        <v>7.3552425665101534E-2</v>
      </c>
      <c r="S19" s="168">
        <v>4.4800000000000004</v>
      </c>
      <c r="T19" s="168">
        <v>3.5</v>
      </c>
    </row>
    <row r="20" spans="1:20">
      <c r="A20" s="196"/>
      <c r="B20" s="197"/>
      <c r="C20" s="197"/>
      <c r="D20" s="198"/>
      <c r="E20" s="199" t="s">
        <v>436</v>
      </c>
      <c r="F20" s="199" t="s">
        <v>262</v>
      </c>
      <c r="G20" s="227">
        <v>89.6</v>
      </c>
      <c r="H20" s="227">
        <v>84.5</v>
      </c>
      <c r="I20" s="227">
        <v>22.6</v>
      </c>
      <c r="J20" s="227">
        <f t="shared" ref="J20:K35" si="4">G20-H20</f>
        <v>5.0999999999999943</v>
      </c>
      <c r="K20" s="227">
        <f t="shared" si="4"/>
        <v>61.9</v>
      </c>
      <c r="L20" s="228">
        <f t="shared" si="1"/>
        <v>8.2390953150242238E-2</v>
      </c>
      <c r="M20" s="229"/>
      <c r="N20" s="230">
        <f t="shared" si="3"/>
        <v>0.41195476575121115</v>
      </c>
      <c r="O20" s="168">
        <v>14.7</v>
      </c>
      <c r="P20" s="231">
        <v>14.7</v>
      </c>
      <c r="R20" s="168">
        <v>8.2390953150242238E-2</v>
      </c>
      <c r="S20" s="168">
        <v>14.7</v>
      </c>
      <c r="T20" s="168">
        <v>14.7</v>
      </c>
    </row>
    <row r="21" spans="1:20">
      <c r="A21" s="196"/>
      <c r="B21" s="197">
        <v>1</v>
      </c>
      <c r="C21" s="197" t="s">
        <v>437</v>
      </c>
      <c r="D21" s="198"/>
      <c r="E21" s="199" t="s">
        <v>438</v>
      </c>
      <c r="F21" s="226" t="s">
        <v>60</v>
      </c>
      <c r="G21" s="227">
        <v>86.2</v>
      </c>
      <c r="H21" s="227">
        <v>80.5</v>
      </c>
      <c r="I21" s="227">
        <v>22.4</v>
      </c>
      <c r="J21" s="227">
        <f t="shared" si="4"/>
        <v>5.7000000000000028</v>
      </c>
      <c r="K21" s="227">
        <f t="shared" si="4"/>
        <v>58.1</v>
      </c>
      <c r="L21" s="228">
        <f t="shared" si="1"/>
        <v>9.8106712564543938E-2</v>
      </c>
      <c r="M21" s="229"/>
      <c r="N21" s="230">
        <f t="shared" si="3"/>
        <v>0.49053356282271965</v>
      </c>
      <c r="O21" s="168">
        <v>16.690000000000001</v>
      </c>
      <c r="P21" s="231">
        <v>16.64</v>
      </c>
      <c r="R21" s="168">
        <v>9.8106712564543938E-2</v>
      </c>
      <c r="S21" s="168">
        <v>16.690000000000001</v>
      </c>
      <c r="T21" s="168">
        <v>16.64</v>
      </c>
    </row>
    <row r="22" spans="1:20">
      <c r="A22" s="196"/>
      <c r="B22" s="197"/>
      <c r="C22" s="197"/>
      <c r="D22" s="198"/>
      <c r="E22" s="226" t="s">
        <v>439</v>
      </c>
      <c r="F22" s="226" t="s">
        <v>61</v>
      </c>
      <c r="G22" s="227">
        <v>86</v>
      </c>
      <c r="H22" s="227">
        <v>80.900000000000006</v>
      </c>
      <c r="I22" s="227">
        <v>25.3</v>
      </c>
      <c r="J22" s="227">
        <f t="shared" si="4"/>
        <v>5.0999999999999943</v>
      </c>
      <c r="K22" s="227">
        <f t="shared" si="4"/>
        <v>55.600000000000009</v>
      </c>
      <c r="L22" s="228">
        <f t="shared" si="1"/>
        <v>9.1726618705035859E-2</v>
      </c>
      <c r="M22" s="229"/>
      <c r="N22" s="230">
        <f t="shared" si="3"/>
        <v>0.45863309352517928</v>
      </c>
      <c r="O22" s="168">
        <v>14.21</v>
      </c>
      <c r="P22" s="231">
        <v>14.76</v>
      </c>
      <c r="R22" s="168">
        <v>9.1726618705035859E-2</v>
      </c>
      <c r="S22" s="168">
        <v>14.21</v>
      </c>
      <c r="T22" s="168">
        <v>14.76</v>
      </c>
    </row>
    <row r="23" spans="1:20">
      <c r="A23" s="196"/>
      <c r="B23" s="197"/>
      <c r="C23" s="197"/>
      <c r="D23" s="198"/>
      <c r="E23" s="199" t="s">
        <v>440</v>
      </c>
      <c r="F23" s="260" t="s">
        <v>62</v>
      </c>
      <c r="G23" s="227">
        <v>81.8</v>
      </c>
      <c r="H23" s="206">
        <v>77.7</v>
      </c>
      <c r="I23" s="227">
        <v>22.4</v>
      </c>
      <c r="J23" s="227">
        <f t="shared" si="4"/>
        <v>4.0999999999999943</v>
      </c>
      <c r="K23" s="227">
        <f t="shared" si="4"/>
        <v>55.300000000000004</v>
      </c>
      <c r="L23" s="228">
        <f t="shared" si="1"/>
        <v>7.414104882459302E-2</v>
      </c>
      <c r="M23" s="229"/>
      <c r="N23" s="230">
        <f t="shared" si="3"/>
        <v>0.37070524412296507</v>
      </c>
      <c r="O23" s="168">
        <v>14.89</v>
      </c>
      <c r="P23" s="231">
        <v>14.61</v>
      </c>
      <c r="R23" s="168">
        <v>7.414104882459302E-2</v>
      </c>
      <c r="S23" s="168">
        <v>14.89</v>
      </c>
      <c r="T23" s="168">
        <v>14.61</v>
      </c>
    </row>
    <row r="24" spans="1:20">
      <c r="A24" s="191" t="s">
        <v>417</v>
      </c>
      <c r="B24" s="192">
        <v>1</v>
      </c>
      <c r="C24" s="192">
        <v>1</v>
      </c>
      <c r="D24" s="193"/>
      <c r="E24" s="194" t="s">
        <v>441</v>
      </c>
      <c r="F24" s="194" t="s">
        <v>59</v>
      </c>
      <c r="G24" s="235">
        <v>93.9</v>
      </c>
      <c r="H24" s="235">
        <v>84.8</v>
      </c>
      <c r="I24" s="235">
        <v>22.1</v>
      </c>
      <c r="J24" s="235">
        <f>G24-H24</f>
        <v>9.1000000000000085</v>
      </c>
      <c r="K24" s="235">
        <f t="shared" si="4"/>
        <v>62.699999999999996</v>
      </c>
      <c r="L24" s="236">
        <f t="shared" si="1"/>
        <v>0.14513556618819792</v>
      </c>
      <c r="M24" s="237"/>
      <c r="N24" s="230">
        <f>L24/0.2</f>
        <v>0.72567783094098959</v>
      </c>
      <c r="O24" s="168">
        <v>19.61</v>
      </c>
      <c r="P24" s="231">
        <v>20.52</v>
      </c>
      <c r="R24" s="168">
        <v>0.14513556618819792</v>
      </c>
      <c r="S24" s="168">
        <v>19.61</v>
      </c>
      <c r="T24" s="168">
        <v>20.52</v>
      </c>
    </row>
    <row r="25" spans="1:20">
      <c r="A25" s="196"/>
      <c r="B25" s="197"/>
      <c r="C25" s="197"/>
      <c r="D25" s="198"/>
      <c r="E25" s="199" t="s">
        <v>442</v>
      </c>
      <c r="F25" s="199" t="s">
        <v>262</v>
      </c>
      <c r="G25" s="227">
        <v>115.3</v>
      </c>
      <c r="H25" s="227">
        <v>104</v>
      </c>
      <c r="I25" s="227">
        <v>29.5</v>
      </c>
      <c r="J25" s="227">
        <f t="shared" ref="J25:K43" si="5">G25-H25</f>
        <v>11.299999999999997</v>
      </c>
      <c r="K25" s="227">
        <f t="shared" si="4"/>
        <v>74.5</v>
      </c>
      <c r="L25" s="228">
        <f t="shared" si="1"/>
        <v>0.15167785234899325</v>
      </c>
      <c r="M25" s="229"/>
      <c r="N25" s="230">
        <f t="shared" ref="N25:N33" si="6">L25/0.2</f>
        <v>0.75838926174496624</v>
      </c>
      <c r="O25" s="168">
        <v>22.28</v>
      </c>
      <c r="P25" s="231">
        <v>22.62</v>
      </c>
      <c r="R25" s="168">
        <v>0.15167785234899325</v>
      </c>
      <c r="S25" s="168">
        <v>22.28</v>
      </c>
      <c r="T25" s="168">
        <v>22.62</v>
      </c>
    </row>
    <row r="26" spans="1:20">
      <c r="A26" s="196"/>
      <c r="B26" s="197"/>
      <c r="C26" s="197" t="s">
        <v>443</v>
      </c>
      <c r="D26" s="198"/>
      <c r="E26" s="199" t="s">
        <v>444</v>
      </c>
      <c r="F26" s="226" t="s">
        <v>60</v>
      </c>
      <c r="G26" s="227">
        <v>84.8</v>
      </c>
      <c r="H26" s="227">
        <v>71.099999999999994</v>
      </c>
      <c r="I26" s="227">
        <v>22.2</v>
      </c>
      <c r="J26" s="227">
        <f t="shared" si="5"/>
        <v>13.700000000000003</v>
      </c>
      <c r="K26" s="227">
        <f t="shared" si="4"/>
        <v>48.899999999999991</v>
      </c>
      <c r="L26" s="228">
        <f t="shared" si="1"/>
        <v>0.28016359918200417</v>
      </c>
      <c r="M26" s="229"/>
      <c r="N26" s="230">
        <f t="shared" si="6"/>
        <v>1.4008179959100209</v>
      </c>
      <c r="O26" s="168">
        <v>20.3</v>
      </c>
      <c r="P26" s="231">
        <v>21.19</v>
      </c>
      <c r="R26" s="168">
        <v>0.28016359918200417</v>
      </c>
      <c r="S26" s="168">
        <v>20.3</v>
      </c>
    </row>
    <row r="27" spans="1:20">
      <c r="A27" s="196"/>
      <c r="B27" s="197"/>
      <c r="C27" s="197"/>
      <c r="D27" s="198"/>
      <c r="E27" s="199" t="s">
        <v>445</v>
      </c>
      <c r="F27" s="226" t="s">
        <v>61</v>
      </c>
      <c r="G27" s="227">
        <v>76.599999999999994</v>
      </c>
      <c r="H27" s="227">
        <v>69.5</v>
      </c>
      <c r="I27" s="227">
        <v>22.6</v>
      </c>
      <c r="J27" s="227">
        <f t="shared" si="5"/>
        <v>7.0999999999999943</v>
      </c>
      <c r="K27" s="227">
        <f t="shared" si="4"/>
        <v>46.9</v>
      </c>
      <c r="L27" s="228">
        <f t="shared" si="1"/>
        <v>0.15138592750533036</v>
      </c>
      <c r="M27" s="229"/>
      <c r="N27" s="230">
        <f t="shared" si="6"/>
        <v>0.75692963752665177</v>
      </c>
      <c r="O27" s="168">
        <v>19.25</v>
      </c>
      <c r="P27" s="231">
        <v>19.510000000000002</v>
      </c>
      <c r="R27" s="168">
        <v>0.15138592750533036</v>
      </c>
      <c r="S27" s="168">
        <v>19.25</v>
      </c>
      <c r="T27" s="168">
        <v>19.510000000000002</v>
      </c>
    </row>
    <row r="28" spans="1:20">
      <c r="A28" s="201"/>
      <c r="B28" s="202"/>
      <c r="C28" s="202"/>
      <c r="D28" s="203"/>
      <c r="E28" s="204" t="s">
        <v>446</v>
      </c>
      <c r="F28" s="260" t="s">
        <v>62</v>
      </c>
      <c r="G28" s="260">
        <v>65.7</v>
      </c>
      <c r="H28" s="260">
        <v>61.6</v>
      </c>
      <c r="I28" s="260">
        <v>22.5</v>
      </c>
      <c r="J28" s="260">
        <f t="shared" si="5"/>
        <v>4.1000000000000014</v>
      </c>
      <c r="K28" s="260">
        <f t="shared" si="4"/>
        <v>39.1</v>
      </c>
      <c r="L28" s="261">
        <f t="shared" si="1"/>
        <v>0.1048593350383632</v>
      </c>
      <c r="M28" s="262"/>
      <c r="N28" s="230">
        <f t="shared" si="6"/>
        <v>0.524296675191816</v>
      </c>
      <c r="O28" s="168">
        <v>22.4</v>
      </c>
      <c r="P28" s="231">
        <v>21.59</v>
      </c>
      <c r="R28" s="168">
        <v>0.1048593350383632</v>
      </c>
      <c r="S28" s="168">
        <v>22.4</v>
      </c>
      <c r="T28" s="168">
        <v>21.59</v>
      </c>
    </row>
    <row r="29" spans="1:20">
      <c r="A29" s="196"/>
      <c r="B29" s="197"/>
      <c r="C29" s="197"/>
      <c r="D29" s="198"/>
      <c r="E29" s="199" t="s">
        <v>447</v>
      </c>
      <c r="F29" s="234" t="s">
        <v>59</v>
      </c>
      <c r="G29" s="227">
        <v>104.6</v>
      </c>
      <c r="H29" s="227">
        <v>95.9</v>
      </c>
      <c r="I29" s="227">
        <v>23.8</v>
      </c>
      <c r="J29" s="227">
        <f t="shared" si="5"/>
        <v>8.6999999999999886</v>
      </c>
      <c r="K29" s="227">
        <f t="shared" si="4"/>
        <v>72.100000000000009</v>
      </c>
      <c r="L29" s="228">
        <f t="shared" si="1"/>
        <v>0.12066574202496515</v>
      </c>
      <c r="M29" s="229"/>
      <c r="N29" s="230">
        <f t="shared" si="6"/>
        <v>0.6033287101248257</v>
      </c>
      <c r="O29" s="168">
        <v>6.76</v>
      </c>
      <c r="P29" s="231">
        <v>0</v>
      </c>
      <c r="R29" s="168">
        <v>0.12066574202496515</v>
      </c>
      <c r="S29" s="168">
        <v>6.76</v>
      </c>
    </row>
    <row r="30" spans="1:20">
      <c r="A30" s="196"/>
      <c r="B30" s="197"/>
      <c r="C30" s="197"/>
      <c r="D30" s="198"/>
      <c r="E30" s="226" t="s">
        <v>448</v>
      </c>
      <c r="F30" s="226" t="s">
        <v>262</v>
      </c>
      <c r="G30" s="227">
        <v>88.8</v>
      </c>
      <c r="H30" s="227">
        <v>81.099999999999994</v>
      </c>
      <c r="I30" s="227">
        <v>21.7</v>
      </c>
      <c r="J30" s="227">
        <f t="shared" si="5"/>
        <v>7.7000000000000028</v>
      </c>
      <c r="K30" s="227">
        <f t="shared" si="4"/>
        <v>59.399999999999991</v>
      </c>
      <c r="L30" s="228">
        <f t="shared" si="1"/>
        <v>0.12962962962962971</v>
      </c>
      <c r="M30" s="229"/>
      <c r="N30" s="230">
        <f t="shared" si="6"/>
        <v>0.64814814814814847</v>
      </c>
      <c r="O30" s="168">
        <v>18.71</v>
      </c>
      <c r="P30" s="231">
        <v>18.54</v>
      </c>
      <c r="R30" s="168">
        <v>0.12962962962962971</v>
      </c>
      <c r="S30" s="168">
        <v>18.71</v>
      </c>
      <c r="T30" s="168">
        <v>18.54</v>
      </c>
    </row>
    <row r="31" spans="1:20">
      <c r="A31" s="196"/>
      <c r="B31" s="197">
        <v>1</v>
      </c>
      <c r="C31" s="197" t="s">
        <v>449</v>
      </c>
      <c r="D31" s="198"/>
      <c r="E31" s="199" t="s">
        <v>450</v>
      </c>
      <c r="F31" s="226" t="s">
        <v>60</v>
      </c>
      <c r="G31" s="227">
        <v>92</v>
      </c>
      <c r="H31" s="227">
        <v>83.5</v>
      </c>
      <c r="I31" s="227">
        <v>22.8</v>
      </c>
      <c r="J31" s="227">
        <f t="shared" si="5"/>
        <v>8.5</v>
      </c>
      <c r="K31" s="227">
        <f t="shared" si="4"/>
        <v>60.7</v>
      </c>
      <c r="L31" s="228">
        <f t="shared" si="1"/>
        <v>0.1400329489291598</v>
      </c>
      <c r="M31" s="229"/>
      <c r="N31" s="230">
        <f t="shared" si="6"/>
        <v>0.70016474464579892</v>
      </c>
      <c r="O31" s="168">
        <v>21.52</v>
      </c>
      <c r="P31" s="231">
        <v>21.86</v>
      </c>
      <c r="R31" s="168">
        <v>0.1400329489291598</v>
      </c>
      <c r="S31" s="168">
        <v>21.52</v>
      </c>
      <c r="T31" s="168">
        <v>21.86</v>
      </c>
    </row>
    <row r="32" spans="1:20">
      <c r="A32" s="196"/>
      <c r="B32" s="197"/>
      <c r="C32" s="197"/>
      <c r="D32" s="198"/>
      <c r="E32" s="226" t="s">
        <v>451</v>
      </c>
      <c r="F32" s="226" t="s">
        <v>61</v>
      </c>
      <c r="G32" s="227">
        <v>91.3</v>
      </c>
      <c r="H32" s="227">
        <v>83.5</v>
      </c>
      <c r="I32" s="227">
        <v>24.6</v>
      </c>
      <c r="J32" s="227">
        <f t="shared" si="5"/>
        <v>7.7999999999999972</v>
      </c>
      <c r="K32" s="227">
        <f t="shared" si="4"/>
        <v>58.9</v>
      </c>
      <c r="L32" s="228">
        <f t="shared" si="1"/>
        <v>0.13242784380305597</v>
      </c>
      <c r="M32" s="229"/>
      <c r="N32" s="230">
        <f t="shared" si="6"/>
        <v>0.66213921901527983</v>
      </c>
      <c r="O32" s="168">
        <v>18.13</v>
      </c>
      <c r="P32" s="231">
        <v>18.309999999999999</v>
      </c>
      <c r="R32" s="168">
        <v>0.13242784380305597</v>
      </c>
      <c r="S32" s="168">
        <v>18.13</v>
      </c>
      <c r="T32" s="168">
        <v>18.309999999999999</v>
      </c>
    </row>
    <row r="33" spans="1:20">
      <c r="A33" s="201"/>
      <c r="B33" s="202"/>
      <c r="C33" s="202"/>
      <c r="D33" s="203"/>
      <c r="E33" s="204" t="s">
        <v>452</v>
      </c>
      <c r="F33" s="260" t="s">
        <v>62</v>
      </c>
      <c r="G33" s="260">
        <v>81</v>
      </c>
      <c r="H33" s="260">
        <v>75.599999999999994</v>
      </c>
      <c r="I33" s="260">
        <v>20.100000000000001</v>
      </c>
      <c r="J33" s="260">
        <f t="shared" si="5"/>
        <v>5.4000000000000057</v>
      </c>
      <c r="K33" s="260">
        <f t="shared" si="4"/>
        <v>55.499999999999993</v>
      </c>
      <c r="L33" s="261">
        <f t="shared" si="1"/>
        <v>9.7297297297297414E-2</v>
      </c>
      <c r="M33" s="262"/>
      <c r="N33" s="230">
        <f t="shared" si="6"/>
        <v>0.48648648648648707</v>
      </c>
      <c r="O33" s="168">
        <v>16.940000000000001</v>
      </c>
      <c r="P33" s="231">
        <v>16.5</v>
      </c>
      <c r="R33" s="168">
        <v>9.7297297297297414E-2</v>
      </c>
      <c r="S33" s="168">
        <v>16.940000000000001</v>
      </c>
      <c r="T33" s="168">
        <v>16.5</v>
      </c>
    </row>
    <row r="34" spans="1:20">
      <c r="A34" s="191" t="s">
        <v>417</v>
      </c>
      <c r="B34" s="192"/>
      <c r="C34" s="192">
        <v>1</v>
      </c>
      <c r="D34" s="193"/>
      <c r="E34" s="194" t="s">
        <v>453</v>
      </c>
      <c r="F34" s="194" t="s">
        <v>59</v>
      </c>
      <c r="G34" s="235">
        <v>74.3</v>
      </c>
      <c r="H34" s="235">
        <v>67.8</v>
      </c>
      <c r="I34" s="235">
        <v>20.3</v>
      </c>
      <c r="J34" s="235">
        <f t="shared" si="5"/>
        <v>6.5</v>
      </c>
      <c r="K34" s="235">
        <f t="shared" si="4"/>
        <v>47.5</v>
      </c>
      <c r="L34" s="236">
        <f t="shared" si="1"/>
        <v>0.1368421052631579</v>
      </c>
      <c r="M34" s="237"/>
      <c r="N34" s="230">
        <f>L34/0.2</f>
        <v>0.68421052631578949</v>
      </c>
      <c r="O34" s="168">
        <v>20.399999999999999</v>
      </c>
      <c r="P34" s="231">
        <v>0</v>
      </c>
      <c r="R34" s="168">
        <v>0.1368421052631579</v>
      </c>
      <c r="S34" s="168">
        <v>3.24</v>
      </c>
      <c r="T34" s="168">
        <v>20.82</v>
      </c>
    </row>
    <row r="35" spans="1:20">
      <c r="A35" s="196"/>
      <c r="B35" s="197">
        <v>2</v>
      </c>
      <c r="C35" s="197" t="s">
        <v>454</v>
      </c>
      <c r="D35" s="198"/>
      <c r="E35" s="199" t="s">
        <v>455</v>
      </c>
      <c r="F35" s="199" t="s">
        <v>262</v>
      </c>
      <c r="G35" s="227">
        <v>87.7</v>
      </c>
      <c r="H35" s="227">
        <v>80.400000000000006</v>
      </c>
      <c r="I35" s="227">
        <v>24.3</v>
      </c>
      <c r="J35" s="227">
        <f t="shared" si="5"/>
        <v>7.2999999999999972</v>
      </c>
      <c r="K35" s="227">
        <f t="shared" si="4"/>
        <v>56.100000000000009</v>
      </c>
      <c r="L35" s="228">
        <f t="shared" si="1"/>
        <v>0.13012477718360063</v>
      </c>
      <c r="M35" s="229"/>
      <c r="N35" s="230">
        <f t="shared" ref="N35:N43" si="7">L35/0.2</f>
        <v>0.65062388591800313</v>
      </c>
      <c r="O35" s="168">
        <v>18.059999999999999</v>
      </c>
      <c r="P35" s="231">
        <v>15.54</v>
      </c>
      <c r="R35" s="168">
        <v>0.13012477718360063</v>
      </c>
      <c r="S35" s="168">
        <v>14.99</v>
      </c>
      <c r="T35" s="168">
        <v>19.04</v>
      </c>
    </row>
    <row r="36" spans="1:20">
      <c r="A36" s="196"/>
      <c r="B36" s="197"/>
      <c r="C36" s="197"/>
      <c r="D36" s="198"/>
      <c r="E36" s="199" t="s">
        <v>456</v>
      </c>
      <c r="F36" s="226" t="s">
        <v>60</v>
      </c>
      <c r="G36" s="197">
        <v>97.8</v>
      </c>
      <c r="H36" s="197">
        <v>88.3</v>
      </c>
      <c r="I36" s="197">
        <v>23.9</v>
      </c>
      <c r="J36" s="197">
        <f t="shared" si="5"/>
        <v>9.5</v>
      </c>
      <c r="K36" s="197">
        <f t="shared" si="5"/>
        <v>64.400000000000006</v>
      </c>
      <c r="L36" s="200">
        <f t="shared" si="1"/>
        <v>0.14751552795031053</v>
      </c>
      <c r="M36" s="225"/>
      <c r="N36" s="175">
        <f t="shared" si="7"/>
        <v>0.73757763975155266</v>
      </c>
      <c r="O36" s="168">
        <v>18.079999999999998</v>
      </c>
      <c r="P36" s="168">
        <v>17.350000000000001</v>
      </c>
      <c r="R36" s="168">
        <v>0.14751552795031053</v>
      </c>
      <c r="S36" s="168">
        <v>17.399999999999999</v>
      </c>
      <c r="T36" s="168">
        <v>19.23</v>
      </c>
    </row>
    <row r="37" spans="1:20">
      <c r="A37" s="196"/>
      <c r="B37" s="197"/>
      <c r="C37" s="197"/>
      <c r="D37" s="198"/>
      <c r="E37" s="199" t="s">
        <v>457</v>
      </c>
      <c r="F37" s="226" t="s">
        <v>61</v>
      </c>
      <c r="G37" s="197">
        <v>96.9</v>
      </c>
      <c r="H37" s="197">
        <v>86.9</v>
      </c>
      <c r="I37" s="197">
        <v>22.1</v>
      </c>
      <c r="J37" s="197">
        <f t="shared" si="5"/>
        <v>10</v>
      </c>
      <c r="K37" s="197">
        <f t="shared" si="5"/>
        <v>64.800000000000011</v>
      </c>
      <c r="L37" s="200">
        <f t="shared" si="1"/>
        <v>0.15432098765432095</v>
      </c>
      <c r="M37" s="225"/>
      <c r="N37" s="175">
        <f t="shared" si="7"/>
        <v>0.7716049382716047</v>
      </c>
      <c r="O37" s="168">
        <v>20.329999999999998</v>
      </c>
      <c r="P37" s="168">
        <v>19.32</v>
      </c>
      <c r="R37" s="168">
        <v>0.15432098765432095</v>
      </c>
      <c r="S37" s="168">
        <v>19.399999999999999</v>
      </c>
      <c r="T37" s="168">
        <v>22.03</v>
      </c>
    </row>
    <row r="38" spans="1:20">
      <c r="A38" s="201"/>
      <c r="B38" s="202"/>
      <c r="C38" s="202"/>
      <c r="D38" s="203"/>
      <c r="E38" s="204" t="s">
        <v>458</v>
      </c>
      <c r="F38" s="260" t="s">
        <v>62</v>
      </c>
      <c r="G38" s="202">
        <v>95.9</v>
      </c>
      <c r="H38" s="202">
        <v>86.5</v>
      </c>
      <c r="I38" s="202">
        <v>25.9</v>
      </c>
      <c r="J38" s="202">
        <f t="shared" si="5"/>
        <v>9.4000000000000057</v>
      </c>
      <c r="K38" s="202">
        <f t="shared" si="5"/>
        <v>60.6</v>
      </c>
      <c r="L38" s="205">
        <f t="shared" si="1"/>
        <v>0.15511551155115522</v>
      </c>
      <c r="M38" s="263"/>
      <c r="N38" s="175">
        <f t="shared" si="7"/>
        <v>0.77557755775577608</v>
      </c>
      <c r="O38" s="168">
        <v>21.99</v>
      </c>
      <c r="P38" s="168">
        <v>21.5</v>
      </c>
      <c r="R38" s="168">
        <v>0.15511551155115522</v>
      </c>
      <c r="S38" s="168">
        <v>21.26</v>
      </c>
      <c r="T38" s="168">
        <v>23.44</v>
      </c>
    </row>
    <row r="39" spans="1:20">
      <c r="A39" s="196"/>
      <c r="B39" s="197"/>
      <c r="C39" s="197"/>
      <c r="D39" s="198"/>
      <c r="E39" s="199" t="s">
        <v>459</v>
      </c>
      <c r="F39" s="194" t="s">
        <v>59</v>
      </c>
      <c r="G39" s="197">
        <v>91.2</v>
      </c>
      <c r="H39" s="197">
        <v>82.2</v>
      </c>
      <c r="I39" s="197">
        <v>20</v>
      </c>
      <c r="J39" s="197">
        <f t="shared" si="5"/>
        <v>9</v>
      </c>
      <c r="K39" s="197">
        <f t="shared" si="5"/>
        <v>62.2</v>
      </c>
      <c r="L39" s="200">
        <f t="shared" si="1"/>
        <v>0.14469453376205788</v>
      </c>
      <c r="M39" s="225"/>
      <c r="N39" s="175">
        <f t="shared" si="7"/>
        <v>0.72347266881028938</v>
      </c>
      <c r="O39" s="168">
        <v>17.86</v>
      </c>
      <c r="P39" s="168">
        <v>2.81</v>
      </c>
      <c r="R39" s="168">
        <v>0.14469453376205788</v>
      </c>
      <c r="S39" s="168">
        <v>1.78</v>
      </c>
      <c r="T39" s="168">
        <v>19.38</v>
      </c>
    </row>
    <row r="40" spans="1:20">
      <c r="A40" s="196"/>
      <c r="B40" s="197">
        <v>2</v>
      </c>
      <c r="C40" s="197" t="s">
        <v>460</v>
      </c>
      <c r="D40" s="198"/>
      <c r="E40" s="199" t="s">
        <v>461</v>
      </c>
      <c r="F40" s="199" t="s">
        <v>262</v>
      </c>
      <c r="G40" s="197">
        <v>93.5</v>
      </c>
      <c r="H40" s="197">
        <v>85.1</v>
      </c>
      <c r="I40" s="197">
        <v>22.6</v>
      </c>
      <c r="J40" s="197">
        <f t="shared" si="5"/>
        <v>8.4000000000000057</v>
      </c>
      <c r="K40" s="197">
        <f t="shared" si="5"/>
        <v>62.499999999999993</v>
      </c>
      <c r="L40" s="200">
        <f t="shared" si="1"/>
        <v>0.1344000000000001</v>
      </c>
      <c r="M40" s="225"/>
      <c r="N40" s="175">
        <f t="shared" si="7"/>
        <v>0.67200000000000049</v>
      </c>
      <c r="O40" s="168">
        <v>19.899999999999999</v>
      </c>
      <c r="P40" s="168">
        <v>12.21</v>
      </c>
      <c r="R40" s="168">
        <v>0.1344000000000001</v>
      </c>
      <c r="S40" s="168">
        <v>12.45</v>
      </c>
      <c r="T40" s="168">
        <v>20.3</v>
      </c>
    </row>
    <row r="41" spans="1:20">
      <c r="A41" s="196"/>
      <c r="B41" s="197"/>
      <c r="C41" s="197"/>
      <c r="D41" s="198"/>
      <c r="E41" s="199" t="s">
        <v>462</v>
      </c>
      <c r="F41" s="226" t="s">
        <v>60</v>
      </c>
      <c r="G41" s="197">
        <v>69.5</v>
      </c>
      <c r="H41" s="197">
        <v>63.7</v>
      </c>
      <c r="I41" s="197">
        <v>22.1</v>
      </c>
      <c r="J41" s="197">
        <f t="shared" si="5"/>
        <v>5.7999999999999972</v>
      </c>
      <c r="K41" s="197">
        <f t="shared" si="5"/>
        <v>41.6</v>
      </c>
      <c r="L41" s="200">
        <f t="shared" si="1"/>
        <v>0.13942307692307684</v>
      </c>
      <c r="M41" s="225"/>
      <c r="N41" s="175">
        <f t="shared" si="7"/>
        <v>0.69711538461538414</v>
      </c>
      <c r="O41" s="168">
        <v>21.47</v>
      </c>
      <c r="P41" s="168">
        <v>15.21</v>
      </c>
      <c r="R41" s="168">
        <v>0.13942307692307684</v>
      </c>
      <c r="S41" s="168">
        <v>16.440000000000001</v>
      </c>
      <c r="T41" s="168">
        <v>22.19</v>
      </c>
    </row>
    <row r="42" spans="1:20">
      <c r="A42" s="196"/>
      <c r="B42" s="197"/>
      <c r="C42" s="197"/>
      <c r="D42" s="198"/>
      <c r="E42" s="199" t="s">
        <v>463</v>
      </c>
      <c r="F42" s="226" t="s">
        <v>61</v>
      </c>
      <c r="G42" s="197">
        <v>78.2</v>
      </c>
      <c r="H42" s="197">
        <v>70.900000000000006</v>
      </c>
      <c r="I42" s="197">
        <v>21.6</v>
      </c>
      <c r="J42" s="197">
        <f t="shared" si="5"/>
        <v>7.2999999999999972</v>
      </c>
      <c r="K42" s="197">
        <f t="shared" si="5"/>
        <v>49.300000000000004</v>
      </c>
      <c r="L42" s="200">
        <f t="shared" si="1"/>
        <v>0.14807302231237315</v>
      </c>
      <c r="M42" s="225"/>
      <c r="N42" s="175">
        <f t="shared" si="7"/>
        <v>0.74036511156186569</v>
      </c>
      <c r="O42" s="168">
        <v>22.33</v>
      </c>
      <c r="P42" s="168">
        <v>18.73</v>
      </c>
      <c r="R42" s="168">
        <v>0.14807302231237315</v>
      </c>
      <c r="S42" s="168">
        <v>19.47</v>
      </c>
      <c r="T42" s="168">
        <v>23.34</v>
      </c>
    </row>
    <row r="43" spans="1:20">
      <c r="A43" s="201"/>
      <c r="B43" s="202"/>
      <c r="C43" s="202"/>
      <c r="D43" s="203"/>
      <c r="E43" s="204" t="s">
        <v>464</v>
      </c>
      <c r="F43" s="260" t="s">
        <v>62</v>
      </c>
      <c r="G43" s="202">
        <v>96.7</v>
      </c>
      <c r="H43" s="202">
        <v>87.4</v>
      </c>
      <c r="I43" s="202">
        <v>24.5</v>
      </c>
      <c r="J43" s="202">
        <f t="shared" si="5"/>
        <v>9.2999999999999972</v>
      </c>
      <c r="K43" s="202">
        <f t="shared" si="5"/>
        <v>62.900000000000006</v>
      </c>
      <c r="L43" s="205">
        <f t="shared" si="1"/>
        <v>0.14785373608903016</v>
      </c>
      <c r="M43" s="263"/>
      <c r="N43" s="175">
        <f t="shared" si="7"/>
        <v>0.73926868044515071</v>
      </c>
      <c r="O43" s="168">
        <v>23.43</v>
      </c>
      <c r="P43" s="168">
        <v>20.75</v>
      </c>
      <c r="R43" s="168">
        <v>0.14785373608903016</v>
      </c>
      <c r="S43" s="168">
        <v>20.88</v>
      </c>
      <c r="T43" s="168">
        <v>23.23</v>
      </c>
    </row>
    <row r="44" spans="1:20">
      <c r="A44" s="191" t="s">
        <v>417</v>
      </c>
      <c r="C44" s="192"/>
      <c r="D44" s="193"/>
      <c r="E44" s="194" t="s">
        <v>465</v>
      </c>
      <c r="F44" s="234" t="s">
        <v>59</v>
      </c>
      <c r="G44" s="235">
        <v>84.7</v>
      </c>
      <c r="H44" s="235">
        <v>77.5</v>
      </c>
      <c r="I44" s="235">
        <v>22.6</v>
      </c>
      <c r="J44" s="235">
        <f t="shared" ref="J44:K59" si="8">G44-H44</f>
        <v>7.2000000000000028</v>
      </c>
      <c r="K44" s="235">
        <f t="shared" si="8"/>
        <v>54.9</v>
      </c>
      <c r="L44" s="236">
        <f t="shared" si="1"/>
        <v>0.13114754098360662</v>
      </c>
      <c r="M44" s="237"/>
      <c r="N44" s="230">
        <f>L44/0.2</f>
        <v>0.65573770491803307</v>
      </c>
      <c r="O44" s="168">
        <v>13.74</v>
      </c>
      <c r="P44" s="231">
        <v>11.58</v>
      </c>
      <c r="R44" s="168">
        <v>0.13114754098360662</v>
      </c>
      <c r="S44" s="168">
        <v>13.52</v>
      </c>
      <c r="T44" s="168">
        <v>12.74</v>
      </c>
    </row>
    <row r="45" spans="1:20">
      <c r="A45" s="196"/>
      <c r="B45" s="197"/>
      <c r="C45" s="197"/>
      <c r="D45" s="198"/>
      <c r="E45" s="199" t="s">
        <v>466</v>
      </c>
      <c r="F45" s="226" t="s">
        <v>262</v>
      </c>
      <c r="G45" s="227">
        <v>90.9</v>
      </c>
      <c r="H45" s="227">
        <v>83.3</v>
      </c>
      <c r="I45" s="227">
        <v>23.2</v>
      </c>
      <c r="J45" s="227">
        <f t="shared" si="8"/>
        <v>7.6000000000000085</v>
      </c>
      <c r="K45" s="227">
        <f t="shared" si="8"/>
        <v>60.099999999999994</v>
      </c>
      <c r="L45" s="228">
        <f t="shared" si="1"/>
        <v>0.12645590682196356</v>
      </c>
      <c r="M45" s="229"/>
      <c r="N45" s="230">
        <f t="shared" ref="N45:N53" si="9">L45/0.2</f>
        <v>0.63227953410981774</v>
      </c>
      <c r="O45" s="168">
        <v>18.79</v>
      </c>
      <c r="P45" s="231">
        <v>17.28</v>
      </c>
      <c r="R45" s="168">
        <v>0.12645590682196356</v>
      </c>
      <c r="S45" s="168">
        <v>18.45</v>
      </c>
      <c r="T45" s="168">
        <v>17.010000000000002</v>
      </c>
    </row>
    <row r="46" spans="1:20">
      <c r="A46" s="196"/>
      <c r="B46" s="197">
        <v>2</v>
      </c>
      <c r="C46" s="197" t="s">
        <v>467</v>
      </c>
      <c r="D46" s="198"/>
      <c r="E46" s="199" t="s">
        <v>468</v>
      </c>
      <c r="F46" s="226" t="s">
        <v>60</v>
      </c>
      <c r="G46" s="197">
        <v>79.2</v>
      </c>
      <c r="H46" s="197">
        <v>73.2</v>
      </c>
      <c r="I46" s="197">
        <v>30.2</v>
      </c>
      <c r="J46" s="197">
        <f t="shared" si="8"/>
        <v>6</v>
      </c>
      <c r="K46" s="197">
        <f t="shared" si="8"/>
        <v>43</v>
      </c>
      <c r="L46" s="200">
        <f t="shared" si="1"/>
        <v>0.13953488372093023</v>
      </c>
      <c r="M46" s="225"/>
      <c r="N46" s="175">
        <f t="shared" si="9"/>
        <v>0.69767441860465107</v>
      </c>
      <c r="O46" s="168">
        <v>19.399999999999999</v>
      </c>
      <c r="P46" s="168">
        <v>19.079999999999998</v>
      </c>
      <c r="R46" s="168">
        <v>0.13953488372093023</v>
      </c>
      <c r="S46" s="168">
        <v>21.22</v>
      </c>
      <c r="T46" s="168">
        <v>19.48</v>
      </c>
    </row>
    <row r="47" spans="1:20">
      <c r="A47" s="196"/>
      <c r="B47" s="197"/>
      <c r="C47" s="197"/>
      <c r="D47" s="198"/>
      <c r="E47" s="199" t="s">
        <v>469</v>
      </c>
      <c r="F47" s="226" t="s">
        <v>61</v>
      </c>
      <c r="G47" s="197">
        <v>97.6</v>
      </c>
      <c r="H47" s="197">
        <v>86.9</v>
      </c>
      <c r="I47" s="197">
        <v>23.6</v>
      </c>
      <c r="J47" s="197">
        <f t="shared" si="8"/>
        <v>10.699999999999989</v>
      </c>
      <c r="K47" s="197">
        <f t="shared" si="8"/>
        <v>63.300000000000004</v>
      </c>
      <c r="L47" s="200">
        <f t="shared" si="1"/>
        <v>0.16903633491311199</v>
      </c>
      <c r="M47" s="225"/>
      <c r="N47" s="175">
        <f t="shared" si="9"/>
        <v>0.84518167456555993</v>
      </c>
      <c r="O47" s="168">
        <v>23.12</v>
      </c>
      <c r="P47" s="168">
        <v>20.27</v>
      </c>
      <c r="R47" s="168">
        <v>0.16903633491311199</v>
      </c>
      <c r="S47" s="168">
        <v>21.83</v>
      </c>
      <c r="T47" s="168">
        <v>23.61</v>
      </c>
    </row>
    <row r="48" spans="1:20">
      <c r="A48" s="201"/>
      <c r="B48" s="202"/>
      <c r="C48" s="202"/>
      <c r="D48" s="203"/>
      <c r="E48" s="204" t="s">
        <v>371</v>
      </c>
      <c r="F48" s="260" t="s">
        <v>62</v>
      </c>
      <c r="G48" s="202">
        <v>80.8</v>
      </c>
      <c r="H48" s="202">
        <v>73.5</v>
      </c>
      <c r="I48" s="202">
        <v>21.4</v>
      </c>
      <c r="J48" s="202">
        <f t="shared" si="8"/>
        <v>7.2999999999999972</v>
      </c>
      <c r="K48" s="202">
        <f t="shared" si="8"/>
        <v>52.1</v>
      </c>
      <c r="L48" s="205">
        <f t="shared" si="1"/>
        <v>0.14011516314779265</v>
      </c>
      <c r="M48" s="263"/>
      <c r="N48" s="175">
        <f t="shared" si="9"/>
        <v>0.70057581573896321</v>
      </c>
      <c r="O48" s="168">
        <v>23.59</v>
      </c>
      <c r="P48" s="168">
        <v>21.27</v>
      </c>
      <c r="R48" s="168">
        <v>0.14011516314779265</v>
      </c>
      <c r="S48" s="168">
        <v>22.01</v>
      </c>
      <c r="T48" s="168">
        <v>23.17</v>
      </c>
    </row>
    <row r="49" spans="1:20">
      <c r="A49" s="196"/>
      <c r="B49" s="197"/>
      <c r="C49" s="197"/>
      <c r="D49" s="198"/>
      <c r="E49" s="199" t="s">
        <v>470</v>
      </c>
      <c r="F49" s="194" t="s">
        <v>59</v>
      </c>
      <c r="G49" s="197">
        <v>77.400000000000006</v>
      </c>
      <c r="H49" s="197">
        <v>70.900000000000006</v>
      </c>
      <c r="I49" s="197">
        <v>21.7</v>
      </c>
      <c r="J49" s="197">
        <f t="shared" si="8"/>
        <v>6.5</v>
      </c>
      <c r="K49" s="197">
        <f t="shared" si="8"/>
        <v>49.2</v>
      </c>
      <c r="L49" s="200">
        <f t="shared" si="1"/>
        <v>0.13211382113821138</v>
      </c>
      <c r="M49" s="225"/>
      <c r="N49" s="175">
        <f t="shared" si="9"/>
        <v>0.66056910569105687</v>
      </c>
      <c r="O49" s="168">
        <v>13.52</v>
      </c>
      <c r="P49" s="168">
        <v>12.74</v>
      </c>
      <c r="R49" s="168">
        <v>0.13211382113821138</v>
      </c>
      <c r="S49" s="168">
        <v>13.74</v>
      </c>
      <c r="T49" s="168">
        <v>11.58</v>
      </c>
    </row>
    <row r="50" spans="1:20">
      <c r="A50" s="196"/>
      <c r="B50" s="197"/>
      <c r="C50" s="197"/>
      <c r="D50" s="198"/>
      <c r="E50" s="199" t="s">
        <v>471</v>
      </c>
      <c r="F50" s="199" t="s">
        <v>262</v>
      </c>
      <c r="G50" s="197">
        <v>93.3</v>
      </c>
      <c r="H50" s="197">
        <v>85</v>
      </c>
      <c r="I50" s="197">
        <v>22.6</v>
      </c>
      <c r="J50" s="197">
        <f t="shared" si="8"/>
        <v>8.2999999999999972</v>
      </c>
      <c r="K50" s="197">
        <f t="shared" si="8"/>
        <v>62.4</v>
      </c>
      <c r="L50" s="200">
        <f t="shared" si="1"/>
        <v>0.13301282051282046</v>
      </c>
      <c r="M50" s="225"/>
      <c r="N50" s="175">
        <f t="shared" si="9"/>
        <v>0.6650641025641022</v>
      </c>
      <c r="O50" s="168">
        <v>18.45</v>
      </c>
      <c r="P50" s="168">
        <v>17.010000000000002</v>
      </c>
      <c r="R50" s="168">
        <v>0.13301282051282046</v>
      </c>
      <c r="S50" s="168">
        <v>18.79</v>
      </c>
      <c r="T50" s="168">
        <v>17.28</v>
      </c>
    </row>
    <row r="51" spans="1:20">
      <c r="A51" s="196"/>
      <c r="B51" s="197">
        <v>2</v>
      </c>
      <c r="C51" s="197" t="s">
        <v>472</v>
      </c>
      <c r="D51" s="198"/>
      <c r="E51" s="199" t="s">
        <v>473</v>
      </c>
      <c r="F51" s="226" t="s">
        <v>60</v>
      </c>
      <c r="G51" s="197">
        <v>91.6</v>
      </c>
      <c r="H51" s="197">
        <v>83.2</v>
      </c>
      <c r="I51" s="197">
        <v>23.4</v>
      </c>
      <c r="J51" s="197">
        <f t="shared" si="8"/>
        <v>8.3999999999999915</v>
      </c>
      <c r="K51" s="197">
        <f t="shared" si="8"/>
        <v>59.800000000000004</v>
      </c>
      <c r="L51" s="200">
        <f t="shared" si="1"/>
        <v>0.14046822742474901</v>
      </c>
      <c r="M51" s="225"/>
      <c r="N51" s="175">
        <f t="shared" si="9"/>
        <v>0.70234113712374502</v>
      </c>
      <c r="O51" s="168">
        <v>21.22</v>
      </c>
      <c r="P51" s="168">
        <v>19.48</v>
      </c>
      <c r="R51" s="168">
        <v>0.14046822742474901</v>
      </c>
      <c r="S51" s="168">
        <v>19.399999999999999</v>
      </c>
      <c r="T51" s="168">
        <v>19.079999999999998</v>
      </c>
    </row>
    <row r="52" spans="1:20">
      <c r="A52" s="196"/>
      <c r="B52" s="197"/>
      <c r="C52" s="197"/>
      <c r="D52" s="198"/>
      <c r="E52" s="199" t="s">
        <v>474</v>
      </c>
      <c r="F52" s="226" t="s">
        <v>61</v>
      </c>
      <c r="G52" s="197">
        <v>93</v>
      </c>
      <c r="H52" s="197">
        <v>84.3</v>
      </c>
      <c r="I52" s="197">
        <v>22.4</v>
      </c>
      <c r="J52" s="197">
        <f t="shared" si="8"/>
        <v>8.7000000000000028</v>
      </c>
      <c r="K52" s="197">
        <f t="shared" si="8"/>
        <v>61.9</v>
      </c>
      <c r="L52" s="200">
        <f t="shared" si="1"/>
        <v>0.14054927302100167</v>
      </c>
      <c r="M52" s="225"/>
      <c r="N52" s="175">
        <f t="shared" si="9"/>
        <v>0.70274636510500832</v>
      </c>
      <c r="O52" s="168">
        <v>21.83</v>
      </c>
      <c r="P52" s="168">
        <v>23.61</v>
      </c>
      <c r="R52" s="168">
        <v>0.14054927302100167</v>
      </c>
      <c r="S52" s="168">
        <v>23.12</v>
      </c>
      <c r="T52" s="168">
        <v>20.27</v>
      </c>
    </row>
    <row r="53" spans="1:20">
      <c r="A53" s="201"/>
      <c r="B53" s="202"/>
      <c r="C53" s="202"/>
      <c r="D53" s="203"/>
      <c r="E53" s="204" t="s">
        <v>475</v>
      </c>
      <c r="F53" s="260" t="s">
        <v>62</v>
      </c>
      <c r="G53" s="202">
        <v>88.3</v>
      </c>
      <c r="H53" s="202">
        <v>79.5</v>
      </c>
      <c r="I53" s="202">
        <v>20.100000000000001</v>
      </c>
      <c r="J53" s="202">
        <f t="shared" si="8"/>
        <v>8.7999999999999972</v>
      </c>
      <c r="K53" s="202">
        <f t="shared" si="8"/>
        <v>59.4</v>
      </c>
      <c r="L53" s="205">
        <f t="shared" si="1"/>
        <v>0.14814814814814811</v>
      </c>
      <c r="M53" s="263"/>
      <c r="N53" s="175">
        <f t="shared" si="9"/>
        <v>0.74074074074074048</v>
      </c>
      <c r="O53" s="168">
        <v>22.01</v>
      </c>
      <c r="P53" s="168">
        <v>23.17</v>
      </c>
      <c r="R53" s="168">
        <v>0.14814814814814811</v>
      </c>
      <c r="S53" s="168">
        <v>23.59</v>
      </c>
      <c r="T53" s="168">
        <v>21.27</v>
      </c>
    </row>
    <row r="54" spans="1:20">
      <c r="A54" s="191" t="s">
        <v>417</v>
      </c>
      <c r="C54" s="192"/>
      <c r="D54" s="193"/>
      <c r="E54" s="194" t="s">
        <v>476</v>
      </c>
      <c r="F54" s="194" t="s">
        <v>59</v>
      </c>
      <c r="G54" s="235">
        <v>77.400000000000006</v>
      </c>
      <c r="H54" s="235">
        <v>72.900000000000006</v>
      </c>
      <c r="I54" s="235">
        <v>21.9</v>
      </c>
      <c r="J54" s="235">
        <f t="shared" si="8"/>
        <v>4.5</v>
      </c>
      <c r="K54" s="235">
        <f t="shared" si="8"/>
        <v>51.000000000000007</v>
      </c>
      <c r="L54" s="236">
        <f t="shared" si="1"/>
        <v>8.8235294117647051E-2</v>
      </c>
      <c r="M54" s="237"/>
      <c r="N54" s="230">
        <f>L54/0.2</f>
        <v>0.44117647058823523</v>
      </c>
      <c r="O54" s="168">
        <v>1.78</v>
      </c>
      <c r="P54" s="231">
        <v>19.38</v>
      </c>
      <c r="R54" s="168">
        <v>8.8235294117647051E-2</v>
      </c>
      <c r="S54" s="168">
        <v>17.86</v>
      </c>
      <c r="T54" s="168">
        <v>2.81</v>
      </c>
    </row>
    <row r="55" spans="1:20">
      <c r="A55" s="196"/>
      <c r="B55" s="197"/>
      <c r="C55" s="197"/>
      <c r="D55" s="198"/>
      <c r="E55" s="199" t="s">
        <v>477</v>
      </c>
      <c r="F55" s="199" t="s">
        <v>262</v>
      </c>
      <c r="G55" s="227">
        <v>83.8</v>
      </c>
      <c r="H55" s="227">
        <v>78.400000000000006</v>
      </c>
      <c r="I55" s="227">
        <v>22.5</v>
      </c>
      <c r="J55" s="227">
        <f t="shared" si="8"/>
        <v>5.3999999999999915</v>
      </c>
      <c r="K55" s="227">
        <f t="shared" si="8"/>
        <v>55.900000000000006</v>
      </c>
      <c r="L55" s="228">
        <f t="shared" si="1"/>
        <v>9.6601073345259234E-2</v>
      </c>
      <c r="M55" s="229"/>
      <c r="N55" s="230">
        <f t="shared" ref="N55:N63" si="10">L55/0.2</f>
        <v>0.48300536672629613</v>
      </c>
      <c r="O55" s="168">
        <v>12.45</v>
      </c>
      <c r="P55" s="231">
        <v>20.3</v>
      </c>
      <c r="R55" s="168">
        <v>9.6601073345259234E-2</v>
      </c>
      <c r="S55" s="168">
        <v>19.899999999999999</v>
      </c>
      <c r="T55" s="168">
        <v>12.21</v>
      </c>
    </row>
    <row r="56" spans="1:20">
      <c r="A56" s="196"/>
      <c r="B56" s="197">
        <v>2</v>
      </c>
      <c r="C56" s="197" t="s">
        <v>478</v>
      </c>
      <c r="D56" s="198"/>
      <c r="E56" s="199" t="s">
        <v>479</v>
      </c>
      <c r="F56" s="226" t="s">
        <v>60</v>
      </c>
      <c r="G56" s="197">
        <v>86.3</v>
      </c>
      <c r="H56" s="197">
        <v>79.8</v>
      </c>
      <c r="I56" s="197">
        <v>22.4</v>
      </c>
      <c r="J56" s="197">
        <f t="shared" si="8"/>
        <v>6.5</v>
      </c>
      <c r="K56" s="197">
        <f t="shared" si="8"/>
        <v>57.4</v>
      </c>
      <c r="L56" s="200">
        <f t="shared" si="1"/>
        <v>0.1132404181184669</v>
      </c>
      <c r="M56" s="225"/>
      <c r="N56" s="175">
        <f t="shared" si="10"/>
        <v>0.56620209059233451</v>
      </c>
      <c r="O56" s="168">
        <v>16.440000000000001</v>
      </c>
      <c r="P56" s="168">
        <v>22.19</v>
      </c>
      <c r="R56" s="168">
        <v>0.1132404181184669</v>
      </c>
      <c r="S56" s="168">
        <v>21.47</v>
      </c>
      <c r="T56" s="168">
        <v>15.21</v>
      </c>
    </row>
    <row r="57" spans="1:20">
      <c r="A57" s="196"/>
      <c r="B57" s="197"/>
      <c r="C57" s="197"/>
      <c r="D57" s="198"/>
      <c r="E57" s="199" t="s">
        <v>480</v>
      </c>
      <c r="F57" s="226" t="s">
        <v>61</v>
      </c>
      <c r="G57" s="197">
        <v>81.8</v>
      </c>
      <c r="H57" s="197">
        <v>75.2</v>
      </c>
      <c r="I57" s="197">
        <v>25.4</v>
      </c>
      <c r="J57" s="197">
        <f t="shared" si="8"/>
        <v>6.5999999999999943</v>
      </c>
      <c r="K57" s="197">
        <f>H57-I57</f>
        <v>49.800000000000004</v>
      </c>
      <c r="L57" s="200">
        <f>J57/K57</f>
        <v>0.13253012048192758</v>
      </c>
      <c r="M57" s="225"/>
      <c r="N57" s="175">
        <f>L57/0.2</f>
        <v>0.66265060240963791</v>
      </c>
      <c r="O57" s="168">
        <v>19.47</v>
      </c>
      <c r="P57" s="168">
        <v>23.34</v>
      </c>
      <c r="R57" s="168">
        <v>0.13253012048192758</v>
      </c>
      <c r="S57" s="168">
        <v>22.33</v>
      </c>
      <c r="T57" s="168">
        <v>18.73</v>
      </c>
    </row>
    <row r="58" spans="1:20">
      <c r="A58" s="201"/>
      <c r="B58" s="202"/>
      <c r="C58" s="202"/>
      <c r="D58" s="203"/>
      <c r="E58" s="204" t="s">
        <v>481</v>
      </c>
      <c r="F58" s="260" t="s">
        <v>62</v>
      </c>
      <c r="G58" s="202">
        <v>80</v>
      </c>
      <c r="H58" s="202">
        <v>74.099999999999994</v>
      </c>
      <c r="I58" s="202">
        <v>22.5</v>
      </c>
      <c r="J58" s="202">
        <f t="shared" si="8"/>
        <v>5.9000000000000057</v>
      </c>
      <c r="K58" s="202">
        <f t="shared" si="8"/>
        <v>51.599999999999994</v>
      </c>
      <c r="L58" s="205">
        <f t="shared" si="1"/>
        <v>0.11434108527131795</v>
      </c>
      <c r="M58" s="263"/>
      <c r="N58" s="175">
        <f t="shared" si="10"/>
        <v>0.57170542635658972</v>
      </c>
      <c r="O58" s="168">
        <v>20.88</v>
      </c>
      <c r="P58" s="168">
        <v>23.23</v>
      </c>
      <c r="R58" s="168">
        <v>0.11434108527131795</v>
      </c>
      <c r="S58" s="168">
        <v>23.43</v>
      </c>
      <c r="T58" s="168">
        <v>20.75</v>
      </c>
    </row>
    <row r="59" spans="1:20">
      <c r="A59" s="196"/>
      <c r="B59" s="197"/>
      <c r="C59" s="197"/>
      <c r="D59" s="198"/>
      <c r="E59" s="199" t="s">
        <v>482</v>
      </c>
      <c r="F59" s="234" t="s">
        <v>59</v>
      </c>
      <c r="G59" s="197">
        <v>90.7</v>
      </c>
      <c r="H59" s="197">
        <v>84.2</v>
      </c>
      <c r="I59" s="197">
        <v>23.5</v>
      </c>
      <c r="J59" s="197">
        <f t="shared" si="8"/>
        <v>6.5</v>
      </c>
      <c r="K59" s="197">
        <f t="shared" si="8"/>
        <v>60.7</v>
      </c>
      <c r="L59" s="200">
        <f t="shared" si="1"/>
        <v>0.1070840197693575</v>
      </c>
      <c r="M59" s="225"/>
      <c r="N59" s="175">
        <f t="shared" si="10"/>
        <v>0.53542009884678743</v>
      </c>
      <c r="O59" s="168">
        <v>3.24</v>
      </c>
      <c r="P59" s="168">
        <v>20.82</v>
      </c>
      <c r="R59" s="168">
        <v>0.1070840197693575</v>
      </c>
      <c r="S59" s="168">
        <v>20.399999999999999</v>
      </c>
    </row>
    <row r="60" spans="1:20">
      <c r="A60" s="196"/>
      <c r="B60" s="197"/>
      <c r="C60" s="197"/>
      <c r="D60" s="198"/>
      <c r="E60" s="199" t="s">
        <v>483</v>
      </c>
      <c r="F60" s="226" t="s">
        <v>262</v>
      </c>
      <c r="G60" s="197">
        <v>78.900000000000006</v>
      </c>
      <c r="H60" s="197">
        <v>73.099999999999994</v>
      </c>
      <c r="I60" s="197">
        <v>21.8</v>
      </c>
      <c r="J60" s="197">
        <f t="shared" ref="J60:K75" si="11">G60-H60</f>
        <v>5.8000000000000114</v>
      </c>
      <c r="K60" s="197">
        <f t="shared" si="11"/>
        <v>51.3</v>
      </c>
      <c r="L60" s="200">
        <f t="shared" si="1"/>
        <v>0.11306042884990276</v>
      </c>
      <c r="M60" s="225"/>
      <c r="N60" s="175">
        <f t="shared" si="10"/>
        <v>0.56530214424951375</v>
      </c>
      <c r="O60" s="168">
        <v>14.99</v>
      </c>
      <c r="P60" s="168">
        <v>19.04</v>
      </c>
      <c r="R60" s="168">
        <v>0.11306042884990276</v>
      </c>
      <c r="S60" s="168">
        <v>18.059999999999999</v>
      </c>
      <c r="T60" s="168">
        <v>15.54</v>
      </c>
    </row>
    <row r="61" spans="1:20">
      <c r="A61" s="196"/>
      <c r="B61" s="197">
        <v>2</v>
      </c>
      <c r="C61" s="197" t="s">
        <v>484</v>
      </c>
      <c r="D61" s="198"/>
      <c r="E61" s="226" t="s">
        <v>485</v>
      </c>
      <c r="F61" s="226" t="s">
        <v>60</v>
      </c>
      <c r="G61" s="197">
        <v>90</v>
      </c>
      <c r="H61" s="197">
        <v>82.3</v>
      </c>
      <c r="I61" s="197">
        <v>21.9</v>
      </c>
      <c r="J61" s="197">
        <f t="shared" si="11"/>
        <v>7.7000000000000028</v>
      </c>
      <c r="K61" s="197">
        <f t="shared" si="11"/>
        <v>60.4</v>
      </c>
      <c r="L61" s="200">
        <f t="shared" si="1"/>
        <v>0.12748344370860931</v>
      </c>
      <c r="M61" s="225"/>
      <c r="N61" s="175">
        <f t="shared" si="10"/>
        <v>0.63741721854304656</v>
      </c>
      <c r="O61" s="168">
        <v>17.399999999999999</v>
      </c>
      <c r="P61" s="168">
        <v>19.23</v>
      </c>
      <c r="R61" s="168">
        <v>0.12748344370860931</v>
      </c>
      <c r="S61" s="168">
        <v>18.079999999999998</v>
      </c>
      <c r="T61" s="168">
        <v>17.350000000000001</v>
      </c>
    </row>
    <row r="62" spans="1:20">
      <c r="A62" s="196"/>
      <c r="B62" s="197"/>
      <c r="C62" s="197"/>
      <c r="D62" s="198"/>
      <c r="E62" s="199" t="s">
        <v>486</v>
      </c>
      <c r="F62" s="226" t="s">
        <v>61</v>
      </c>
      <c r="G62" s="197">
        <v>89.8</v>
      </c>
      <c r="H62" s="197">
        <v>81.400000000000006</v>
      </c>
      <c r="I62" s="197">
        <v>22.5</v>
      </c>
      <c r="J62" s="197">
        <f t="shared" si="11"/>
        <v>8.3999999999999915</v>
      </c>
      <c r="K62" s="197">
        <f t="shared" si="11"/>
        <v>58.900000000000006</v>
      </c>
      <c r="L62" s="200">
        <f t="shared" si="1"/>
        <v>0.14261460101867557</v>
      </c>
      <c r="M62" s="225"/>
      <c r="N62" s="175">
        <f t="shared" si="10"/>
        <v>0.71307300509337779</v>
      </c>
      <c r="O62" s="168">
        <v>19.399999999999999</v>
      </c>
      <c r="P62" s="168">
        <v>22.03</v>
      </c>
      <c r="R62" s="168">
        <v>0.14261460101867557</v>
      </c>
      <c r="S62" s="168">
        <v>20.329999999999998</v>
      </c>
      <c r="T62" s="168">
        <v>19.32</v>
      </c>
    </row>
    <row r="63" spans="1:20">
      <c r="A63" s="201"/>
      <c r="B63" s="202"/>
      <c r="C63" s="202"/>
      <c r="D63" s="203"/>
      <c r="E63" s="204" t="s">
        <v>487</v>
      </c>
      <c r="F63" s="260" t="s">
        <v>62</v>
      </c>
      <c r="G63" s="202">
        <v>85.8</v>
      </c>
      <c r="H63" s="202">
        <v>78.400000000000006</v>
      </c>
      <c r="I63" s="202">
        <v>23.5</v>
      </c>
      <c r="J63" s="202">
        <f t="shared" si="11"/>
        <v>7.3999999999999915</v>
      </c>
      <c r="K63" s="202">
        <f t="shared" si="11"/>
        <v>54.900000000000006</v>
      </c>
      <c r="L63" s="205">
        <f t="shared" si="1"/>
        <v>0.13479052823315102</v>
      </c>
      <c r="M63" s="263"/>
      <c r="N63" s="175">
        <f t="shared" si="10"/>
        <v>0.67395264116575504</v>
      </c>
      <c r="O63" s="168">
        <v>21.26</v>
      </c>
      <c r="P63" s="168">
        <v>23.44</v>
      </c>
      <c r="R63" s="168">
        <v>0.13479052823315102</v>
      </c>
      <c r="S63" s="168">
        <v>21.99</v>
      </c>
      <c r="T63" s="168">
        <v>21.5</v>
      </c>
    </row>
    <row r="64" spans="1:20">
      <c r="A64" s="191" t="s">
        <v>417</v>
      </c>
      <c r="B64" s="192"/>
      <c r="C64" s="192">
        <v>1</v>
      </c>
      <c r="D64" s="193"/>
      <c r="E64" s="194" t="s">
        <v>488</v>
      </c>
      <c r="F64" s="194" t="s">
        <v>59</v>
      </c>
      <c r="G64" s="235">
        <v>86.3</v>
      </c>
      <c r="H64" s="235">
        <v>77.2</v>
      </c>
      <c r="I64" s="235">
        <v>20</v>
      </c>
      <c r="J64" s="235">
        <f t="shared" si="11"/>
        <v>9.0999999999999943</v>
      </c>
      <c r="K64" s="235">
        <f t="shared" si="11"/>
        <v>57.2</v>
      </c>
      <c r="L64" s="236">
        <f t="shared" si="1"/>
        <v>0.15909090909090898</v>
      </c>
      <c r="M64" s="237"/>
      <c r="N64" s="230">
        <f>L64/0.2</f>
        <v>0.79545454545454486</v>
      </c>
      <c r="O64" s="168">
        <v>26.32</v>
      </c>
      <c r="P64" s="168">
        <v>24.42</v>
      </c>
      <c r="R64" s="168">
        <v>0.15909090909090898</v>
      </c>
      <c r="S64" s="168">
        <v>26.32</v>
      </c>
      <c r="T64" s="168">
        <v>24.42</v>
      </c>
    </row>
    <row r="65" spans="1:20" s="171" customFormat="1">
      <c r="A65" s="196"/>
      <c r="B65" s="197">
        <v>3</v>
      </c>
      <c r="C65" s="197" t="s">
        <v>489</v>
      </c>
      <c r="D65" s="198"/>
      <c r="E65" s="199" t="s">
        <v>490</v>
      </c>
      <c r="F65" s="199" t="s">
        <v>262</v>
      </c>
      <c r="G65" s="227">
        <v>94.1</v>
      </c>
      <c r="H65" s="227">
        <v>85.7</v>
      </c>
      <c r="I65" s="227">
        <v>22.8</v>
      </c>
      <c r="J65" s="227">
        <f t="shared" si="11"/>
        <v>8.3999999999999915</v>
      </c>
      <c r="K65" s="227">
        <f t="shared" si="11"/>
        <v>62.900000000000006</v>
      </c>
      <c r="L65" s="228">
        <f t="shared" si="1"/>
        <v>0.13354531001589812</v>
      </c>
      <c r="M65" s="229"/>
      <c r="N65" s="230">
        <f t="shared" ref="N65:N73" si="12">L65/0.2</f>
        <v>0.66772655007949056</v>
      </c>
      <c r="O65" s="171">
        <v>20.329999999999998</v>
      </c>
      <c r="P65" s="168">
        <v>20.81</v>
      </c>
      <c r="R65" s="171">
        <v>0.13354531001589812</v>
      </c>
      <c r="S65" s="171">
        <v>20.329999999999998</v>
      </c>
      <c r="T65" s="171">
        <v>20.81</v>
      </c>
    </row>
    <row r="66" spans="1:20">
      <c r="A66" s="196"/>
      <c r="B66" s="197"/>
      <c r="C66" s="197"/>
      <c r="D66" s="198"/>
      <c r="E66" s="199" t="s">
        <v>491</v>
      </c>
      <c r="F66" s="226" t="s">
        <v>60</v>
      </c>
      <c r="G66" s="197">
        <v>94.5</v>
      </c>
      <c r="H66" s="197">
        <v>84</v>
      </c>
      <c r="I66" s="197">
        <v>21.4</v>
      </c>
      <c r="J66" s="197">
        <f t="shared" si="11"/>
        <v>10.5</v>
      </c>
      <c r="K66" s="197">
        <f t="shared" si="11"/>
        <v>62.6</v>
      </c>
      <c r="L66" s="200">
        <f t="shared" si="1"/>
        <v>0.16773162939297123</v>
      </c>
      <c r="M66" s="225"/>
      <c r="N66" s="175">
        <f t="shared" si="12"/>
        <v>0.83865814696485608</v>
      </c>
      <c r="O66" s="168">
        <v>22.27</v>
      </c>
      <c r="P66" s="168">
        <v>22.55</v>
      </c>
      <c r="R66" s="168">
        <v>0.16773162939297123</v>
      </c>
      <c r="S66" s="168">
        <v>22.27</v>
      </c>
      <c r="T66" s="168">
        <v>22.55</v>
      </c>
    </row>
    <row r="67" spans="1:20">
      <c r="A67" s="196"/>
      <c r="B67" s="197"/>
      <c r="C67" s="197"/>
      <c r="D67" s="198"/>
      <c r="E67" s="199" t="s">
        <v>492</v>
      </c>
      <c r="F67" s="226" t="s">
        <v>61</v>
      </c>
      <c r="G67" s="197">
        <v>101.8</v>
      </c>
      <c r="H67" s="197">
        <v>91.8</v>
      </c>
      <c r="I67" s="197">
        <v>25.8</v>
      </c>
      <c r="J67" s="197">
        <f t="shared" si="11"/>
        <v>10</v>
      </c>
      <c r="K67" s="197">
        <f t="shared" si="11"/>
        <v>66</v>
      </c>
      <c r="L67" s="200">
        <f t="shared" si="1"/>
        <v>0.15151515151515152</v>
      </c>
      <c r="M67" s="225"/>
      <c r="N67" s="175">
        <f t="shared" si="12"/>
        <v>0.75757575757575757</v>
      </c>
      <c r="O67" s="168">
        <v>23.64</v>
      </c>
      <c r="P67" s="168">
        <v>22.62</v>
      </c>
      <c r="R67" s="168">
        <v>0.15151515151515152</v>
      </c>
      <c r="S67" s="168">
        <v>23.64</v>
      </c>
      <c r="T67" s="168">
        <v>22.62</v>
      </c>
    </row>
    <row r="68" spans="1:20">
      <c r="A68" s="201"/>
      <c r="B68" s="202"/>
      <c r="C68" s="202"/>
      <c r="D68" s="203"/>
      <c r="E68" s="204" t="s">
        <v>493</v>
      </c>
      <c r="F68" s="260" t="s">
        <v>62</v>
      </c>
      <c r="G68" s="202">
        <v>86</v>
      </c>
      <c r="H68" s="202">
        <v>75.099999999999994</v>
      </c>
      <c r="I68" s="202">
        <v>21.1</v>
      </c>
      <c r="J68" s="202">
        <f t="shared" si="11"/>
        <v>10.900000000000006</v>
      </c>
      <c r="K68" s="202">
        <f t="shared" si="11"/>
        <v>53.999999999999993</v>
      </c>
      <c r="L68" s="205">
        <f t="shared" ref="L68:L86" si="13">J68/K68</f>
        <v>0.20185185185185198</v>
      </c>
      <c r="M68" s="263"/>
      <c r="N68" s="175">
        <f t="shared" si="12"/>
        <v>1.0092592592592597</v>
      </c>
      <c r="O68" s="168">
        <v>24.89</v>
      </c>
      <c r="P68" s="168">
        <v>24.36</v>
      </c>
      <c r="R68" s="168">
        <v>0.20185185185185198</v>
      </c>
      <c r="S68" s="168">
        <v>24.89</v>
      </c>
      <c r="T68" s="168">
        <v>24.36</v>
      </c>
    </row>
    <row r="69" spans="1:20">
      <c r="A69" s="196"/>
      <c r="B69" s="197"/>
      <c r="C69" s="197"/>
      <c r="D69" s="198"/>
      <c r="E69" s="199" t="s">
        <v>494</v>
      </c>
      <c r="F69" s="194" t="s">
        <v>59</v>
      </c>
      <c r="G69" s="197">
        <v>64.900000000000006</v>
      </c>
      <c r="H69" s="197">
        <v>58.7</v>
      </c>
      <c r="I69" s="197">
        <v>19.7</v>
      </c>
      <c r="J69" s="197">
        <f t="shared" si="11"/>
        <v>6.2000000000000028</v>
      </c>
      <c r="K69" s="197">
        <f t="shared" si="11"/>
        <v>39</v>
      </c>
      <c r="L69" s="200">
        <f t="shared" si="13"/>
        <v>0.15897435897435905</v>
      </c>
      <c r="M69" s="225"/>
      <c r="N69" s="175">
        <f t="shared" si="12"/>
        <v>0.79487179487179516</v>
      </c>
      <c r="O69" s="168">
        <v>23.41</v>
      </c>
      <c r="P69" s="168">
        <v>22.74</v>
      </c>
      <c r="R69" s="168">
        <v>0.15897435897435905</v>
      </c>
      <c r="S69" s="168">
        <v>23.41</v>
      </c>
      <c r="T69" s="168">
        <v>22.74</v>
      </c>
    </row>
    <row r="70" spans="1:20">
      <c r="A70" s="196"/>
      <c r="B70" s="197">
        <v>3</v>
      </c>
      <c r="C70" s="197" t="s">
        <v>495</v>
      </c>
      <c r="D70" s="198"/>
      <c r="E70" s="199" t="s">
        <v>496</v>
      </c>
      <c r="F70" s="199" t="s">
        <v>262</v>
      </c>
      <c r="G70" s="197">
        <v>91.2</v>
      </c>
      <c r="H70" s="197">
        <v>83.3</v>
      </c>
      <c r="I70" s="197">
        <v>22.1</v>
      </c>
      <c r="J70" s="197">
        <f t="shared" si="11"/>
        <v>7.9000000000000057</v>
      </c>
      <c r="K70" s="197">
        <f t="shared" si="11"/>
        <v>61.199999999999996</v>
      </c>
      <c r="L70" s="200">
        <f t="shared" si="13"/>
        <v>0.12908496732026153</v>
      </c>
      <c r="M70" s="225"/>
      <c r="N70" s="175">
        <f t="shared" si="12"/>
        <v>0.64542483660130767</v>
      </c>
      <c r="O70" s="168">
        <v>20.51</v>
      </c>
      <c r="P70" s="168">
        <v>19.77</v>
      </c>
      <c r="R70" s="168">
        <v>0.12908496732026153</v>
      </c>
      <c r="S70" s="168">
        <v>20.51</v>
      </c>
      <c r="T70" s="168">
        <v>19.77</v>
      </c>
    </row>
    <row r="71" spans="1:20">
      <c r="A71" s="196"/>
      <c r="B71" s="197"/>
      <c r="C71" s="197"/>
      <c r="D71" s="198"/>
      <c r="E71" s="199" t="s">
        <v>497</v>
      </c>
      <c r="F71" s="226" t="s">
        <v>60</v>
      </c>
      <c r="G71" s="197">
        <v>88.7</v>
      </c>
      <c r="H71" s="197">
        <v>71.2</v>
      </c>
      <c r="I71" s="197">
        <v>21.1</v>
      </c>
      <c r="J71" s="197">
        <f t="shared" si="11"/>
        <v>17.5</v>
      </c>
      <c r="K71" s="197">
        <f t="shared" si="11"/>
        <v>50.1</v>
      </c>
      <c r="L71" s="200">
        <f t="shared" si="13"/>
        <v>0.34930139720558884</v>
      </c>
      <c r="M71" s="225"/>
      <c r="N71" s="175">
        <f t="shared" si="12"/>
        <v>1.7465069860279441</v>
      </c>
      <c r="O71" s="168">
        <v>22.59</v>
      </c>
      <c r="P71" s="168">
        <v>22.55</v>
      </c>
      <c r="R71" s="168">
        <v>0.34930139720558884</v>
      </c>
      <c r="S71" s="168">
        <v>22.59</v>
      </c>
      <c r="T71" s="264"/>
    </row>
    <row r="72" spans="1:20">
      <c r="A72" s="196"/>
      <c r="B72" s="197"/>
      <c r="C72" s="197"/>
      <c r="D72" s="198"/>
      <c r="E72" s="199" t="s">
        <v>498</v>
      </c>
      <c r="F72" s="226" t="s">
        <v>61</v>
      </c>
      <c r="G72" s="197">
        <v>98.7</v>
      </c>
      <c r="H72" s="197">
        <v>89.5</v>
      </c>
      <c r="I72" s="197">
        <v>24.1</v>
      </c>
      <c r="J72" s="197">
        <f t="shared" si="11"/>
        <v>9.2000000000000028</v>
      </c>
      <c r="K72" s="197">
        <f t="shared" si="11"/>
        <v>65.400000000000006</v>
      </c>
      <c r="L72" s="200">
        <f t="shared" si="13"/>
        <v>0.14067278287461776</v>
      </c>
      <c r="M72" s="225"/>
      <c r="N72" s="175">
        <f t="shared" si="12"/>
        <v>0.70336391437308876</v>
      </c>
      <c r="O72" s="197">
        <v>23.1</v>
      </c>
      <c r="P72" s="197">
        <v>23.52</v>
      </c>
      <c r="R72" s="168">
        <v>0.14067278287461776</v>
      </c>
      <c r="S72" s="168">
        <v>23.1</v>
      </c>
      <c r="T72" s="168">
        <v>23.52</v>
      </c>
    </row>
    <row r="73" spans="1:20">
      <c r="A73" s="201"/>
      <c r="B73" s="202"/>
      <c r="C73" s="202"/>
      <c r="D73" s="203"/>
      <c r="E73" s="204" t="s">
        <v>499</v>
      </c>
      <c r="F73" s="260" t="s">
        <v>62</v>
      </c>
      <c r="G73" s="202">
        <v>87.2</v>
      </c>
      <c r="H73" s="202">
        <v>76.7</v>
      </c>
      <c r="I73" s="202">
        <v>21.6</v>
      </c>
      <c r="J73" s="202">
        <f t="shared" si="11"/>
        <v>10.5</v>
      </c>
      <c r="K73" s="202">
        <f t="shared" si="11"/>
        <v>55.1</v>
      </c>
      <c r="L73" s="205">
        <f t="shared" si="13"/>
        <v>0.19056261343012704</v>
      </c>
      <c r="M73" s="263"/>
      <c r="N73" s="175">
        <f t="shared" si="12"/>
        <v>0.95281306715063518</v>
      </c>
      <c r="O73" s="168">
        <v>24.83</v>
      </c>
      <c r="P73" s="168">
        <v>24.3</v>
      </c>
      <c r="R73" s="168">
        <v>0.19056261343012704</v>
      </c>
      <c r="S73" s="168">
        <v>24.83</v>
      </c>
      <c r="T73" s="168">
        <v>24.3</v>
      </c>
    </row>
    <row r="74" spans="1:20">
      <c r="A74" s="191" t="s">
        <v>417</v>
      </c>
      <c r="C74" s="192"/>
      <c r="D74" s="193"/>
      <c r="E74" s="194" t="s">
        <v>500</v>
      </c>
      <c r="F74" s="234" t="s">
        <v>59</v>
      </c>
      <c r="G74" s="235">
        <v>94.3</v>
      </c>
      <c r="H74" s="235">
        <v>84.1</v>
      </c>
      <c r="I74" s="235">
        <v>23.4</v>
      </c>
      <c r="J74" s="235">
        <f t="shared" si="11"/>
        <v>10.200000000000003</v>
      </c>
      <c r="K74" s="235">
        <f t="shared" si="11"/>
        <v>60.699999999999996</v>
      </c>
      <c r="L74" s="236">
        <f t="shared" si="13"/>
        <v>0.16803953871499183</v>
      </c>
      <c r="M74" s="237"/>
      <c r="N74" s="230">
        <f>L74/0.2</f>
        <v>0.8401976935749591</v>
      </c>
      <c r="O74" s="168">
        <v>22.92</v>
      </c>
      <c r="P74" s="168">
        <v>20.43</v>
      </c>
      <c r="R74" s="168">
        <v>0.16803953871499183</v>
      </c>
      <c r="S74" s="168">
        <v>22.92</v>
      </c>
      <c r="T74" s="168">
        <v>20.43</v>
      </c>
    </row>
    <row r="75" spans="1:20">
      <c r="A75" s="196"/>
      <c r="B75" s="197"/>
      <c r="C75" s="197"/>
      <c r="D75" s="198"/>
      <c r="E75" s="199" t="s">
        <v>501</v>
      </c>
      <c r="F75" s="226" t="s">
        <v>262</v>
      </c>
      <c r="G75" s="227">
        <v>96.5</v>
      </c>
      <c r="H75" s="227">
        <v>86</v>
      </c>
      <c r="I75" s="227">
        <v>21.4</v>
      </c>
      <c r="J75" s="227">
        <f t="shared" si="11"/>
        <v>10.5</v>
      </c>
      <c r="K75" s="227">
        <f t="shared" si="11"/>
        <v>64.599999999999994</v>
      </c>
      <c r="L75" s="228">
        <f t="shared" si="13"/>
        <v>0.16253869969040249</v>
      </c>
      <c r="M75" s="229"/>
      <c r="N75" s="230">
        <f t="shared" ref="N75:N83" si="14">L75/0.2</f>
        <v>0.81269349845201244</v>
      </c>
      <c r="O75" s="168">
        <v>18.43</v>
      </c>
      <c r="P75" s="168">
        <v>18.05</v>
      </c>
      <c r="R75" s="168">
        <v>0.16253869969040249</v>
      </c>
      <c r="S75" s="168">
        <v>18.43</v>
      </c>
      <c r="T75" s="168">
        <v>18.05</v>
      </c>
    </row>
    <row r="76" spans="1:20">
      <c r="A76" s="196"/>
      <c r="B76" s="197">
        <v>3</v>
      </c>
      <c r="C76" s="197" t="s">
        <v>502</v>
      </c>
      <c r="D76" s="198"/>
      <c r="E76" s="199" t="s">
        <v>503</v>
      </c>
      <c r="F76" s="226" t="s">
        <v>60</v>
      </c>
      <c r="G76" s="197">
        <v>90.8</v>
      </c>
      <c r="H76" s="197">
        <v>81</v>
      </c>
      <c r="I76" s="197">
        <v>21.1</v>
      </c>
      <c r="J76" s="197">
        <f t="shared" ref="J76:K110" si="15">G76-H76</f>
        <v>9.7999999999999972</v>
      </c>
      <c r="K76" s="197">
        <f t="shared" si="15"/>
        <v>59.9</v>
      </c>
      <c r="L76" s="200">
        <f t="shared" si="13"/>
        <v>0.16360601001669445</v>
      </c>
      <c r="M76" s="225"/>
      <c r="N76" s="175">
        <f t="shared" si="14"/>
        <v>0.81803005008347218</v>
      </c>
      <c r="O76" s="168">
        <v>18.52</v>
      </c>
      <c r="P76" s="168">
        <v>20.82</v>
      </c>
      <c r="R76" s="168">
        <v>0.16360601001669445</v>
      </c>
      <c r="S76" s="168">
        <v>18.52</v>
      </c>
      <c r="T76" s="168">
        <v>20.82</v>
      </c>
    </row>
    <row r="77" spans="1:20">
      <c r="A77" s="196"/>
      <c r="B77" s="197"/>
      <c r="C77" s="197"/>
      <c r="D77" s="198"/>
      <c r="E77" s="199" t="s">
        <v>504</v>
      </c>
      <c r="F77" s="226" t="s">
        <v>61</v>
      </c>
      <c r="G77" s="197">
        <v>81.2</v>
      </c>
      <c r="H77" s="197">
        <v>71.5</v>
      </c>
      <c r="I77" s="197">
        <v>22.6</v>
      </c>
      <c r="J77" s="197">
        <f t="shared" si="15"/>
        <v>9.7000000000000028</v>
      </c>
      <c r="K77" s="197">
        <f t="shared" si="15"/>
        <v>48.9</v>
      </c>
      <c r="L77" s="200">
        <f t="shared" si="13"/>
        <v>0.19836400817995917</v>
      </c>
      <c r="M77" s="225"/>
      <c r="N77" s="175">
        <f t="shared" si="14"/>
        <v>0.99182004089979581</v>
      </c>
      <c r="O77" s="168">
        <v>21.75</v>
      </c>
      <c r="P77" s="168">
        <v>21.72</v>
      </c>
      <c r="R77" s="168">
        <v>0.19836400817995917</v>
      </c>
      <c r="S77" s="168">
        <v>21.75</v>
      </c>
      <c r="T77" s="168">
        <v>21.72</v>
      </c>
    </row>
    <row r="78" spans="1:20">
      <c r="A78" s="201"/>
      <c r="B78" s="202"/>
      <c r="C78" s="202"/>
      <c r="D78" s="203"/>
      <c r="E78" s="204" t="s">
        <v>505</v>
      </c>
      <c r="F78" s="260" t="s">
        <v>62</v>
      </c>
      <c r="G78" s="202">
        <v>95.7</v>
      </c>
      <c r="H78" s="202">
        <v>84.6</v>
      </c>
      <c r="I78" s="202">
        <v>20.2</v>
      </c>
      <c r="J78" s="202">
        <f t="shared" si="15"/>
        <v>11.100000000000009</v>
      </c>
      <c r="K78" s="202">
        <f t="shared" si="15"/>
        <v>64.399999999999991</v>
      </c>
      <c r="L78" s="205">
        <f t="shared" si="13"/>
        <v>0.17236024844720513</v>
      </c>
      <c r="M78" s="263"/>
      <c r="N78" s="175">
        <f t="shared" si="14"/>
        <v>0.86180124223602561</v>
      </c>
      <c r="O78" s="168">
        <v>23.74</v>
      </c>
      <c r="P78" s="168">
        <v>23.3</v>
      </c>
      <c r="R78" s="168">
        <v>0.17236024844720513</v>
      </c>
      <c r="S78" s="168">
        <v>23.74</v>
      </c>
      <c r="T78" s="168">
        <v>23.3</v>
      </c>
    </row>
    <row r="79" spans="1:20">
      <c r="A79" s="196"/>
      <c r="B79" s="197"/>
      <c r="C79" s="197"/>
      <c r="D79" s="198"/>
      <c r="E79" s="199" t="s">
        <v>506</v>
      </c>
      <c r="F79" s="194" t="s">
        <v>59</v>
      </c>
      <c r="G79" s="197">
        <v>84.3</v>
      </c>
      <c r="H79" s="197">
        <v>76.900000000000006</v>
      </c>
      <c r="I79" s="197">
        <v>22.6</v>
      </c>
      <c r="J79" s="197">
        <f t="shared" si="15"/>
        <v>7.3999999999999915</v>
      </c>
      <c r="K79" s="197">
        <f t="shared" si="15"/>
        <v>54.300000000000004</v>
      </c>
      <c r="L79" s="200">
        <f t="shared" si="13"/>
        <v>0.13627992633517477</v>
      </c>
      <c r="M79" s="225"/>
      <c r="N79" s="175">
        <f t="shared" si="14"/>
        <v>0.68139963167587381</v>
      </c>
      <c r="O79" s="168">
        <v>13.94</v>
      </c>
      <c r="P79" s="168">
        <v>14.5</v>
      </c>
      <c r="R79" s="168">
        <v>0.13627992633517477</v>
      </c>
      <c r="S79" s="168">
        <v>13.94</v>
      </c>
      <c r="T79" s="168">
        <v>14.5</v>
      </c>
    </row>
    <row r="80" spans="1:20">
      <c r="A80" s="196"/>
      <c r="B80" s="197"/>
      <c r="C80" s="197"/>
      <c r="D80" s="198"/>
      <c r="E80" s="199" t="s">
        <v>507</v>
      </c>
      <c r="F80" s="199" t="s">
        <v>262</v>
      </c>
      <c r="G80" s="197">
        <v>96.3</v>
      </c>
      <c r="H80" s="197">
        <v>87.3</v>
      </c>
      <c r="I80" s="197">
        <v>22.9</v>
      </c>
      <c r="J80" s="197">
        <f t="shared" si="15"/>
        <v>9</v>
      </c>
      <c r="K80" s="197">
        <f t="shared" si="15"/>
        <v>64.400000000000006</v>
      </c>
      <c r="L80" s="200">
        <f t="shared" si="13"/>
        <v>0.13975155279503104</v>
      </c>
      <c r="M80" s="225"/>
      <c r="N80" s="175">
        <f t="shared" si="14"/>
        <v>0.69875776397515521</v>
      </c>
      <c r="O80" s="168">
        <v>17.89</v>
      </c>
      <c r="P80" s="168">
        <v>17.2</v>
      </c>
      <c r="R80" s="168">
        <v>0.13975155279503104</v>
      </c>
      <c r="S80" s="168">
        <v>17.89</v>
      </c>
      <c r="T80" s="168">
        <v>17.2</v>
      </c>
    </row>
    <row r="81" spans="1:20">
      <c r="A81" s="196"/>
      <c r="B81" s="197">
        <v>3</v>
      </c>
      <c r="C81" s="197" t="s">
        <v>508</v>
      </c>
      <c r="D81" s="198"/>
      <c r="E81" s="199" t="s">
        <v>509</v>
      </c>
      <c r="F81" s="226" t="s">
        <v>60</v>
      </c>
      <c r="G81" s="197">
        <v>92.7</v>
      </c>
      <c r="H81" s="197">
        <v>83.1</v>
      </c>
      <c r="I81" s="197">
        <v>20.8</v>
      </c>
      <c r="J81" s="197">
        <f t="shared" si="15"/>
        <v>9.6000000000000085</v>
      </c>
      <c r="K81" s="197">
        <f t="shared" si="15"/>
        <v>62.3</v>
      </c>
      <c r="L81" s="200">
        <f t="shared" si="13"/>
        <v>0.15409309791332276</v>
      </c>
      <c r="M81" s="225"/>
      <c r="N81" s="175">
        <f>L81/0.2</f>
        <v>0.77046548956661376</v>
      </c>
      <c r="O81" s="168">
        <v>19.47</v>
      </c>
      <c r="P81" s="168">
        <v>18.84</v>
      </c>
      <c r="R81" s="168">
        <v>0.15409309791332276</v>
      </c>
      <c r="S81" s="168">
        <v>19.47</v>
      </c>
      <c r="T81" s="168">
        <v>18.84</v>
      </c>
    </row>
    <row r="82" spans="1:20">
      <c r="A82" s="196"/>
      <c r="B82" s="197"/>
      <c r="C82" s="197"/>
      <c r="D82" s="198"/>
      <c r="E82" s="199" t="s">
        <v>510</v>
      </c>
      <c r="F82" s="226" t="s">
        <v>61</v>
      </c>
      <c r="G82" s="197">
        <v>89.2</v>
      </c>
      <c r="H82" s="197">
        <v>80</v>
      </c>
      <c r="I82" s="197">
        <v>21.9</v>
      </c>
      <c r="J82" s="197">
        <f t="shared" si="15"/>
        <v>9.2000000000000028</v>
      </c>
      <c r="K82" s="197">
        <f t="shared" si="15"/>
        <v>58.1</v>
      </c>
      <c r="L82" s="200">
        <f t="shared" si="13"/>
        <v>0.15834767641996561</v>
      </c>
      <c r="M82" s="225"/>
      <c r="N82" s="175">
        <f t="shared" si="14"/>
        <v>0.79173838209982805</v>
      </c>
      <c r="O82" s="168">
        <v>20.84</v>
      </c>
      <c r="P82" s="168">
        <v>20.22</v>
      </c>
      <c r="R82" s="168">
        <v>0.15834767641996561</v>
      </c>
      <c r="S82" s="168">
        <v>20.84</v>
      </c>
      <c r="T82" s="168">
        <v>20.22</v>
      </c>
    </row>
    <row r="83" spans="1:20">
      <c r="A83" s="201"/>
      <c r="B83" s="202"/>
      <c r="C83" s="202"/>
      <c r="D83" s="203"/>
      <c r="E83" s="204" t="s">
        <v>511</v>
      </c>
      <c r="F83" s="260" t="s">
        <v>62</v>
      </c>
      <c r="G83" s="202">
        <v>88.3</v>
      </c>
      <c r="H83" s="202">
        <v>79.400000000000006</v>
      </c>
      <c r="I83" s="202">
        <v>21.7</v>
      </c>
      <c r="J83" s="202">
        <f t="shared" si="15"/>
        <v>8.8999999999999915</v>
      </c>
      <c r="K83" s="202">
        <f t="shared" si="15"/>
        <v>57.7</v>
      </c>
      <c r="L83" s="205">
        <f t="shared" si="13"/>
        <v>0.15424610051993051</v>
      </c>
      <c r="M83" s="263"/>
      <c r="N83" s="175">
        <f t="shared" si="14"/>
        <v>0.77123050259965253</v>
      </c>
      <c r="O83" s="168">
        <v>22.07</v>
      </c>
      <c r="P83" s="168">
        <v>21.46</v>
      </c>
      <c r="R83" s="168">
        <v>0.15424610051993051</v>
      </c>
      <c r="S83" s="168">
        <v>22.07</v>
      </c>
      <c r="T83" s="168">
        <v>21.46</v>
      </c>
    </row>
    <row r="84" spans="1:20">
      <c r="A84" s="191" t="s">
        <v>417</v>
      </c>
      <c r="C84" s="192"/>
      <c r="D84" s="193"/>
      <c r="E84" s="194" t="s">
        <v>512</v>
      </c>
      <c r="F84" s="194" t="s">
        <v>59</v>
      </c>
      <c r="G84" s="235">
        <v>86.4</v>
      </c>
      <c r="H84" s="235">
        <v>78.599999999999994</v>
      </c>
      <c r="I84" s="235">
        <v>21.9</v>
      </c>
      <c r="J84" s="235">
        <f t="shared" si="15"/>
        <v>7.8000000000000114</v>
      </c>
      <c r="K84" s="235">
        <f t="shared" si="15"/>
        <v>56.699999999999996</v>
      </c>
      <c r="L84" s="236">
        <f t="shared" si="13"/>
        <v>0.13756613756613778</v>
      </c>
      <c r="M84" s="237"/>
      <c r="N84" s="230">
        <f>L84/0.2</f>
        <v>0.6878306878306889</v>
      </c>
      <c r="O84" s="168">
        <v>7.49</v>
      </c>
      <c r="P84" s="168">
        <v>8.6</v>
      </c>
      <c r="R84" s="168">
        <v>0.13756613756613778</v>
      </c>
      <c r="S84" s="168">
        <v>7.49</v>
      </c>
      <c r="T84" s="168">
        <v>8.6</v>
      </c>
    </row>
    <row r="85" spans="1:20">
      <c r="A85" s="196"/>
      <c r="B85" s="197"/>
      <c r="C85" s="197"/>
      <c r="D85" s="198"/>
      <c r="E85" s="199" t="s">
        <v>513</v>
      </c>
      <c r="F85" s="199" t="s">
        <v>262</v>
      </c>
      <c r="G85" s="227">
        <v>81</v>
      </c>
      <c r="H85" s="227">
        <v>74.3</v>
      </c>
      <c r="I85" s="227">
        <v>21.9</v>
      </c>
      <c r="J85" s="227">
        <f t="shared" si="15"/>
        <v>6.7000000000000028</v>
      </c>
      <c r="K85" s="227">
        <f t="shared" si="15"/>
        <v>52.4</v>
      </c>
      <c r="L85" s="228">
        <f t="shared" si="13"/>
        <v>0.12786259541984737</v>
      </c>
      <c r="M85" s="229"/>
      <c r="N85" s="230">
        <f t="shared" ref="N85:N86" si="16">L85/0.2</f>
        <v>0.63931297709923685</v>
      </c>
      <c r="O85" s="168">
        <v>16.03</v>
      </c>
      <c r="P85" s="168">
        <v>15.06</v>
      </c>
      <c r="R85" s="168">
        <v>0.12786259541984737</v>
      </c>
      <c r="S85" s="168">
        <v>16.03</v>
      </c>
      <c r="T85" s="168">
        <v>15.06</v>
      </c>
    </row>
    <row r="86" spans="1:20">
      <c r="A86" s="196"/>
      <c r="B86" s="197">
        <v>3</v>
      </c>
      <c r="C86" s="197" t="s">
        <v>514</v>
      </c>
      <c r="D86" s="198"/>
      <c r="E86" s="199" t="s">
        <v>515</v>
      </c>
      <c r="F86" s="226" t="s">
        <v>60</v>
      </c>
      <c r="G86" s="197">
        <v>93.4</v>
      </c>
      <c r="H86" s="197">
        <v>83.7</v>
      </c>
      <c r="I86" s="197">
        <v>20.2</v>
      </c>
      <c r="J86" s="197">
        <f t="shared" si="15"/>
        <v>9.7000000000000028</v>
      </c>
      <c r="K86" s="197">
        <f t="shared" si="15"/>
        <v>63.5</v>
      </c>
      <c r="L86" s="200">
        <f t="shared" si="13"/>
        <v>0.15275590551181106</v>
      </c>
      <c r="M86" s="225"/>
      <c r="N86" s="175">
        <f t="shared" si="16"/>
        <v>0.76377952755905532</v>
      </c>
      <c r="O86" s="168">
        <v>17.52</v>
      </c>
      <c r="P86" s="168">
        <v>17.149999999999999</v>
      </c>
      <c r="R86" s="168">
        <v>0.15275590551181106</v>
      </c>
      <c r="S86" s="168">
        <v>17.52</v>
      </c>
      <c r="T86" s="168">
        <v>17.149999999999999</v>
      </c>
    </row>
    <row r="87" spans="1:20">
      <c r="A87" s="196"/>
      <c r="B87" s="197"/>
      <c r="C87" s="197"/>
      <c r="D87" s="198"/>
      <c r="E87" s="226" t="s">
        <v>516</v>
      </c>
      <c r="F87" s="226" t="s">
        <v>61</v>
      </c>
      <c r="G87" s="197">
        <v>80.400000000000006</v>
      </c>
      <c r="H87" s="197">
        <v>72.900000000000006</v>
      </c>
      <c r="I87" s="197">
        <v>17.899999999999999</v>
      </c>
      <c r="J87" s="197">
        <f t="shared" si="15"/>
        <v>7.5</v>
      </c>
      <c r="K87" s="197">
        <f>H87-I87</f>
        <v>55.000000000000007</v>
      </c>
      <c r="L87" s="200">
        <f>J87/K87</f>
        <v>0.13636363636363635</v>
      </c>
      <c r="M87" s="225"/>
      <c r="N87" s="175">
        <f>L87/0.2</f>
        <v>0.68181818181818177</v>
      </c>
      <c r="O87" s="168">
        <v>20.37</v>
      </c>
      <c r="P87" s="168">
        <v>20.65</v>
      </c>
      <c r="R87" s="168">
        <v>0.13636363636363635</v>
      </c>
      <c r="S87" s="168">
        <v>20.37</v>
      </c>
      <c r="T87" s="168">
        <v>20.65</v>
      </c>
    </row>
    <row r="88" spans="1:20">
      <c r="A88" s="201"/>
      <c r="B88" s="202"/>
      <c r="C88" s="202"/>
      <c r="D88" s="203"/>
      <c r="E88" s="204" t="s">
        <v>517</v>
      </c>
      <c r="F88" s="260" t="s">
        <v>62</v>
      </c>
      <c r="G88" s="202">
        <v>79.599999999999994</v>
      </c>
      <c r="H88" s="202">
        <v>73.099999999999994</v>
      </c>
      <c r="I88" s="202">
        <v>19.8</v>
      </c>
      <c r="J88" s="202">
        <f t="shared" si="15"/>
        <v>6.5</v>
      </c>
      <c r="K88" s="202">
        <f t="shared" si="15"/>
        <v>53.3</v>
      </c>
      <c r="L88" s="205">
        <f t="shared" ref="L88:L121" si="17">J88/K88</f>
        <v>0.12195121951219513</v>
      </c>
      <c r="M88" s="263"/>
      <c r="N88" s="175">
        <f t="shared" ref="N88:N98" si="18">L88/0.2</f>
        <v>0.6097560975609756</v>
      </c>
      <c r="O88" s="168">
        <v>21.29</v>
      </c>
      <c r="P88" s="168">
        <v>21.44</v>
      </c>
      <c r="R88" s="168">
        <v>0.12195121951219513</v>
      </c>
      <c r="S88" s="168">
        <v>21.29</v>
      </c>
      <c r="T88" s="168">
        <v>21.44</v>
      </c>
    </row>
    <row r="89" spans="1:20">
      <c r="A89" s="196"/>
      <c r="B89" s="197"/>
      <c r="C89" s="197"/>
      <c r="D89" s="198"/>
      <c r="E89" s="199" t="s">
        <v>518</v>
      </c>
      <c r="F89" s="234" t="s">
        <v>59</v>
      </c>
      <c r="G89" s="197">
        <v>87.4</v>
      </c>
      <c r="H89" s="197">
        <v>78.400000000000006</v>
      </c>
      <c r="I89" s="197">
        <v>21</v>
      </c>
      <c r="J89" s="197">
        <f t="shared" si="15"/>
        <v>9</v>
      </c>
      <c r="K89" s="197">
        <f t="shared" si="15"/>
        <v>57.400000000000006</v>
      </c>
      <c r="L89" s="200">
        <f t="shared" si="17"/>
        <v>0.156794425087108</v>
      </c>
      <c r="M89" s="225"/>
      <c r="N89" s="175">
        <f t="shared" si="18"/>
        <v>0.78397212543553996</v>
      </c>
      <c r="O89" s="168">
        <v>19.46</v>
      </c>
      <c r="P89" s="168">
        <v>21.41</v>
      </c>
      <c r="R89" s="168">
        <v>0.156794425087108</v>
      </c>
      <c r="S89" s="168">
        <v>19.46</v>
      </c>
      <c r="T89" s="168">
        <v>21.41</v>
      </c>
    </row>
    <row r="90" spans="1:20">
      <c r="A90" s="196"/>
      <c r="B90" s="197"/>
      <c r="C90" s="197"/>
      <c r="D90" s="198"/>
      <c r="E90" s="199" t="s">
        <v>519</v>
      </c>
      <c r="F90" s="226" t="s">
        <v>262</v>
      </c>
      <c r="G90" s="197">
        <v>88.1</v>
      </c>
      <c r="H90" s="197">
        <v>78.3</v>
      </c>
      <c r="I90" s="197">
        <v>19.600000000000001</v>
      </c>
      <c r="J90" s="197">
        <f t="shared" si="15"/>
        <v>9.7999999999999972</v>
      </c>
      <c r="K90" s="197">
        <f t="shared" si="15"/>
        <v>58.699999999999996</v>
      </c>
      <c r="L90" s="200">
        <f t="shared" si="17"/>
        <v>0.16695059625212944</v>
      </c>
      <c r="M90" s="225"/>
      <c r="N90" s="175">
        <f t="shared" si="18"/>
        <v>0.83475298126064712</v>
      </c>
      <c r="O90" s="168">
        <v>17.239999999999998</v>
      </c>
      <c r="P90" s="168">
        <v>18.559999999999999</v>
      </c>
      <c r="R90" s="168">
        <v>0.16695059625212944</v>
      </c>
      <c r="S90" s="168">
        <v>17.239999999999998</v>
      </c>
      <c r="T90" s="168">
        <v>18.559999999999999</v>
      </c>
    </row>
    <row r="91" spans="1:20">
      <c r="A91" s="196"/>
      <c r="B91" s="197">
        <v>3</v>
      </c>
      <c r="C91" s="197" t="s">
        <v>520</v>
      </c>
      <c r="D91" s="198"/>
      <c r="E91" s="199" t="s">
        <v>521</v>
      </c>
      <c r="F91" s="226" t="s">
        <v>60</v>
      </c>
      <c r="G91" s="197">
        <v>89.8</v>
      </c>
      <c r="H91" s="197">
        <v>81</v>
      </c>
      <c r="I91" s="197">
        <v>20.9</v>
      </c>
      <c r="J91" s="197">
        <f t="shared" si="15"/>
        <v>8.7999999999999972</v>
      </c>
      <c r="K91" s="197">
        <f t="shared" si="15"/>
        <v>60.1</v>
      </c>
      <c r="L91" s="200">
        <f t="shared" si="17"/>
        <v>0.14642262895174704</v>
      </c>
      <c r="M91" s="225"/>
      <c r="N91" s="175">
        <f t="shared" si="18"/>
        <v>0.73211314475873512</v>
      </c>
      <c r="O91" s="168">
        <v>17.41</v>
      </c>
      <c r="P91" s="168">
        <v>20.55</v>
      </c>
      <c r="R91" s="168">
        <v>0.14642262895174704</v>
      </c>
      <c r="S91" s="168">
        <v>17.41</v>
      </c>
      <c r="T91" s="168">
        <v>20.55</v>
      </c>
    </row>
    <row r="92" spans="1:20">
      <c r="A92" s="196"/>
      <c r="B92" s="197"/>
      <c r="C92" s="197"/>
      <c r="D92" s="198"/>
      <c r="E92" s="199" t="s">
        <v>522</v>
      </c>
      <c r="F92" s="226" t="s">
        <v>61</v>
      </c>
      <c r="G92" s="197">
        <v>95.7</v>
      </c>
      <c r="H92" s="197">
        <v>85.9</v>
      </c>
      <c r="I92" s="197">
        <v>22.3</v>
      </c>
      <c r="J92" s="197">
        <f t="shared" si="15"/>
        <v>9.7999999999999972</v>
      </c>
      <c r="K92" s="197">
        <f t="shared" si="15"/>
        <v>63.600000000000009</v>
      </c>
      <c r="L92" s="200">
        <f t="shared" si="17"/>
        <v>0.15408805031446535</v>
      </c>
      <c r="M92" s="225"/>
      <c r="N92" s="175">
        <f t="shared" si="18"/>
        <v>0.77044025157232665</v>
      </c>
      <c r="O92" s="168">
        <v>21.37</v>
      </c>
      <c r="P92" s="168">
        <v>21.53</v>
      </c>
      <c r="R92" s="168">
        <v>0.15408805031446535</v>
      </c>
      <c r="S92" s="168">
        <v>21.37</v>
      </c>
      <c r="T92" s="168">
        <v>21.53</v>
      </c>
    </row>
    <row r="93" spans="1:20">
      <c r="A93" s="201"/>
      <c r="B93" s="202"/>
      <c r="C93" s="202"/>
      <c r="D93" s="203"/>
      <c r="E93" s="204" t="s">
        <v>523</v>
      </c>
      <c r="F93" s="260" t="s">
        <v>62</v>
      </c>
      <c r="G93" s="202">
        <v>103.6</v>
      </c>
      <c r="H93" s="202">
        <v>91.7</v>
      </c>
      <c r="I93" s="202">
        <v>23.7</v>
      </c>
      <c r="J93" s="202">
        <f t="shared" si="15"/>
        <v>11.899999999999991</v>
      </c>
      <c r="K93" s="202">
        <f t="shared" si="15"/>
        <v>68</v>
      </c>
      <c r="L93" s="205">
        <f t="shared" si="17"/>
        <v>0.17499999999999988</v>
      </c>
      <c r="M93" s="263"/>
      <c r="N93" s="175">
        <f t="shared" si="18"/>
        <v>0.87499999999999933</v>
      </c>
      <c r="O93" s="168">
        <v>23.88</v>
      </c>
      <c r="P93" s="168">
        <v>23.7</v>
      </c>
      <c r="R93" s="168">
        <v>0.17499999999999988</v>
      </c>
      <c r="S93" s="168">
        <v>23.88</v>
      </c>
      <c r="T93" s="168">
        <v>23.7</v>
      </c>
    </row>
    <row r="94" spans="1:20">
      <c r="A94" s="196"/>
      <c r="B94" s="197"/>
      <c r="C94" s="197"/>
      <c r="D94" s="198"/>
      <c r="E94" s="199" t="s">
        <v>524</v>
      </c>
      <c r="F94" s="194" t="s">
        <v>59</v>
      </c>
      <c r="G94" s="197">
        <v>101.2</v>
      </c>
      <c r="H94" s="197">
        <v>88.9</v>
      </c>
      <c r="I94" s="197">
        <v>25.1</v>
      </c>
      <c r="J94" s="197">
        <f t="shared" si="15"/>
        <v>12.299999999999997</v>
      </c>
      <c r="K94" s="197">
        <f t="shared" si="15"/>
        <v>63.800000000000004</v>
      </c>
      <c r="L94" s="200">
        <f t="shared" si="17"/>
        <v>0.19278996865203757</v>
      </c>
      <c r="M94" s="225"/>
      <c r="N94" s="175">
        <f t="shared" si="18"/>
        <v>0.96394984326018784</v>
      </c>
      <c r="O94" s="168">
        <v>16.02</v>
      </c>
      <c r="P94" s="168">
        <v>14.05</v>
      </c>
      <c r="R94" s="168">
        <v>0.19278996865203757</v>
      </c>
      <c r="S94" s="168">
        <v>16.02</v>
      </c>
      <c r="T94" s="168">
        <v>14.05</v>
      </c>
    </row>
    <row r="95" spans="1:20">
      <c r="A95" s="196"/>
      <c r="B95" s="197"/>
      <c r="C95" s="197"/>
      <c r="D95" s="198"/>
      <c r="E95" s="226" t="s">
        <v>525</v>
      </c>
      <c r="F95" s="199" t="s">
        <v>262</v>
      </c>
      <c r="G95" s="197">
        <v>96.3</v>
      </c>
      <c r="H95" s="197">
        <v>84.5</v>
      </c>
      <c r="I95" s="197">
        <v>22.6</v>
      </c>
      <c r="J95" s="197">
        <f t="shared" si="15"/>
        <v>11.799999999999997</v>
      </c>
      <c r="K95" s="197">
        <f t="shared" si="15"/>
        <v>61.9</v>
      </c>
      <c r="L95" s="200">
        <f t="shared" si="17"/>
        <v>0.19063004846526652</v>
      </c>
      <c r="M95" s="225"/>
      <c r="N95" s="175">
        <f t="shared" si="18"/>
        <v>0.9531502423263325</v>
      </c>
      <c r="O95" s="168">
        <v>26.09</v>
      </c>
      <c r="P95" s="168">
        <v>25.54</v>
      </c>
      <c r="R95" s="168">
        <v>0.19063004846526652</v>
      </c>
      <c r="S95" s="168">
        <v>26.09</v>
      </c>
      <c r="T95" s="168">
        <v>25.54</v>
      </c>
    </row>
    <row r="96" spans="1:20">
      <c r="A96" s="196"/>
      <c r="B96" s="197"/>
      <c r="C96" s="197" t="s">
        <v>526</v>
      </c>
      <c r="D96" s="198"/>
      <c r="E96" s="199" t="s">
        <v>527</v>
      </c>
      <c r="F96" s="226" t="s">
        <v>60</v>
      </c>
      <c r="G96" s="197">
        <v>97.2</v>
      </c>
      <c r="H96" s="197">
        <v>84.9</v>
      </c>
      <c r="I96" s="197">
        <v>21.4</v>
      </c>
      <c r="J96" s="197">
        <f t="shared" si="15"/>
        <v>12.299999999999997</v>
      </c>
      <c r="K96" s="197">
        <f t="shared" si="15"/>
        <v>63.500000000000007</v>
      </c>
      <c r="L96" s="200">
        <f t="shared" si="17"/>
        <v>0.19370078740157473</v>
      </c>
      <c r="M96" s="225"/>
      <c r="N96" s="175">
        <f t="shared" si="18"/>
        <v>0.96850393700787363</v>
      </c>
      <c r="O96" s="168">
        <v>27.51</v>
      </c>
      <c r="P96" s="168">
        <v>26.85</v>
      </c>
      <c r="R96" s="168">
        <v>0.19370078740157473</v>
      </c>
      <c r="S96" s="168">
        <v>27.51</v>
      </c>
      <c r="T96" s="168">
        <v>26.85</v>
      </c>
    </row>
    <row r="97" spans="1:20">
      <c r="A97" s="196"/>
      <c r="B97" s="197"/>
      <c r="C97" s="197"/>
      <c r="D97" s="198"/>
      <c r="E97" s="199" t="s">
        <v>528</v>
      </c>
      <c r="F97" s="226" t="s">
        <v>61</v>
      </c>
      <c r="G97" s="197">
        <v>97.3</v>
      </c>
      <c r="H97" s="197">
        <v>86.1</v>
      </c>
      <c r="I97" s="197">
        <v>23.6</v>
      </c>
      <c r="J97" s="197">
        <f t="shared" si="15"/>
        <v>11.200000000000003</v>
      </c>
      <c r="K97" s="197">
        <f t="shared" si="15"/>
        <v>62.499999999999993</v>
      </c>
      <c r="L97" s="200">
        <f t="shared" si="17"/>
        <v>0.17920000000000005</v>
      </c>
      <c r="M97" s="225"/>
      <c r="N97" s="175">
        <f t="shared" si="18"/>
        <v>0.89600000000000024</v>
      </c>
      <c r="O97" s="168">
        <v>27.92</v>
      </c>
      <c r="P97" s="168">
        <v>28.2</v>
      </c>
      <c r="R97" s="168">
        <v>0.17920000000000005</v>
      </c>
      <c r="S97" s="168">
        <v>27.92</v>
      </c>
      <c r="T97" s="168">
        <v>28.2</v>
      </c>
    </row>
    <row r="98" spans="1:20">
      <c r="A98" s="201"/>
      <c r="B98" s="202"/>
      <c r="C98" s="202"/>
      <c r="D98" s="203"/>
      <c r="E98" s="204" t="s">
        <v>529</v>
      </c>
      <c r="F98" s="260" t="s">
        <v>62</v>
      </c>
      <c r="G98" s="202">
        <v>100</v>
      </c>
      <c r="H98" s="202">
        <v>87.8</v>
      </c>
      <c r="I98" s="202">
        <v>23.8</v>
      </c>
      <c r="J98" s="202">
        <f t="shared" si="15"/>
        <v>12.200000000000003</v>
      </c>
      <c r="K98" s="202">
        <f t="shared" si="15"/>
        <v>64</v>
      </c>
      <c r="L98" s="205">
        <f t="shared" si="17"/>
        <v>0.19062500000000004</v>
      </c>
      <c r="M98" s="263"/>
      <c r="N98" s="175">
        <f t="shared" si="18"/>
        <v>0.95312500000000022</v>
      </c>
      <c r="O98" s="168">
        <v>28.81</v>
      </c>
      <c r="P98" s="168">
        <v>28.37</v>
      </c>
      <c r="R98" s="168">
        <v>0.19062500000000004</v>
      </c>
      <c r="S98" s="168">
        <v>28.81</v>
      </c>
      <c r="T98" s="168">
        <v>28.37</v>
      </c>
    </row>
    <row r="99" spans="1:20">
      <c r="A99" s="191" t="s">
        <v>417</v>
      </c>
      <c r="B99" s="192"/>
      <c r="C99" s="192">
        <v>1</v>
      </c>
      <c r="D99" s="193"/>
      <c r="E99" s="194" t="s">
        <v>530</v>
      </c>
      <c r="F99" s="194" t="s">
        <v>59</v>
      </c>
      <c r="G99" s="235">
        <v>94.7</v>
      </c>
      <c r="H99" s="235">
        <v>83.6</v>
      </c>
      <c r="I99" s="235">
        <v>23.7</v>
      </c>
      <c r="J99" s="235">
        <f t="shared" si="15"/>
        <v>11.100000000000009</v>
      </c>
      <c r="K99" s="235">
        <f t="shared" si="15"/>
        <v>59.899999999999991</v>
      </c>
      <c r="L99" s="236">
        <f t="shared" si="17"/>
        <v>0.18530884808013373</v>
      </c>
      <c r="M99" s="237"/>
      <c r="N99" s="230">
        <f>L99/0.2</f>
        <v>0.92654424040066863</v>
      </c>
      <c r="O99" s="168">
        <v>13.05</v>
      </c>
      <c r="P99" s="168">
        <v>14.83</v>
      </c>
      <c r="R99" s="168">
        <v>0.18530884808013373</v>
      </c>
      <c r="S99" s="168">
        <v>13.05</v>
      </c>
      <c r="T99" s="168">
        <v>14.83</v>
      </c>
    </row>
    <row r="100" spans="1:20" s="171" customFormat="1">
      <c r="A100" s="196"/>
      <c r="B100" s="197"/>
      <c r="C100" s="197" t="s">
        <v>531</v>
      </c>
      <c r="D100" s="198"/>
      <c r="E100" s="199" t="s">
        <v>532</v>
      </c>
      <c r="F100" s="199" t="s">
        <v>262</v>
      </c>
      <c r="G100" s="227">
        <v>101.9</v>
      </c>
      <c r="H100" s="227">
        <v>89.2</v>
      </c>
      <c r="I100" s="227">
        <v>25</v>
      </c>
      <c r="J100" s="227">
        <f t="shared" si="15"/>
        <v>12.700000000000003</v>
      </c>
      <c r="K100" s="227">
        <f t="shared" si="15"/>
        <v>64.2</v>
      </c>
      <c r="L100" s="228">
        <f t="shared" si="17"/>
        <v>0.19781931464174457</v>
      </c>
      <c r="M100" s="229"/>
      <c r="N100" s="230">
        <f t="shared" ref="N100:N108" si="19">L100/0.2</f>
        <v>0.9890965732087228</v>
      </c>
      <c r="O100" s="171">
        <v>27.1</v>
      </c>
      <c r="P100" s="168">
        <v>28.55</v>
      </c>
      <c r="R100" s="171">
        <v>0.19781931464174457</v>
      </c>
      <c r="S100" s="171">
        <v>27.1</v>
      </c>
      <c r="T100" s="171">
        <v>28.55</v>
      </c>
    </row>
    <row r="101" spans="1:20">
      <c r="A101" s="196"/>
      <c r="B101" s="197"/>
      <c r="C101" s="197"/>
      <c r="D101" s="198"/>
      <c r="E101" s="199" t="s">
        <v>533</v>
      </c>
      <c r="F101" s="226" t="s">
        <v>60</v>
      </c>
      <c r="G101" s="197">
        <v>112</v>
      </c>
      <c r="H101" s="197">
        <v>99.1</v>
      </c>
      <c r="I101" s="197">
        <v>27.3</v>
      </c>
      <c r="J101" s="197">
        <f t="shared" si="15"/>
        <v>12.900000000000006</v>
      </c>
      <c r="K101" s="197">
        <f t="shared" si="15"/>
        <v>71.8</v>
      </c>
      <c r="L101" s="200">
        <f t="shared" si="17"/>
        <v>0.17966573816155998</v>
      </c>
      <c r="M101" s="225"/>
      <c r="N101" s="175">
        <f t="shared" si="19"/>
        <v>0.89832869080779987</v>
      </c>
      <c r="O101" s="168">
        <v>28.37</v>
      </c>
      <c r="P101" s="168">
        <v>28.15</v>
      </c>
      <c r="R101" s="168">
        <v>0.17966573816155998</v>
      </c>
      <c r="S101" s="168">
        <v>28.37</v>
      </c>
      <c r="T101" s="168">
        <v>28.15</v>
      </c>
    </row>
    <row r="102" spans="1:20">
      <c r="A102" s="196"/>
      <c r="B102" s="197"/>
      <c r="C102" s="197"/>
      <c r="D102" s="198"/>
      <c r="E102" s="199" t="s">
        <v>534</v>
      </c>
      <c r="F102" s="226" t="s">
        <v>61</v>
      </c>
      <c r="G102" s="197">
        <v>81.2</v>
      </c>
      <c r="H102" s="197">
        <v>73.099999999999994</v>
      </c>
      <c r="I102" s="197">
        <v>23.7</v>
      </c>
      <c r="J102" s="197">
        <f t="shared" si="15"/>
        <v>8.1000000000000085</v>
      </c>
      <c r="K102" s="197">
        <f t="shared" si="15"/>
        <v>49.399999999999991</v>
      </c>
      <c r="L102" s="200">
        <f t="shared" si="17"/>
        <v>0.16396761133603258</v>
      </c>
      <c r="M102" s="225"/>
      <c r="N102" s="175">
        <f t="shared" si="19"/>
        <v>0.81983805668016285</v>
      </c>
      <c r="O102" s="168">
        <v>27.66</v>
      </c>
      <c r="P102" s="168">
        <v>27.48</v>
      </c>
      <c r="R102" s="168">
        <v>0.16396761133603258</v>
      </c>
      <c r="S102" s="168">
        <v>27.66</v>
      </c>
      <c r="T102" s="168">
        <v>27.48</v>
      </c>
    </row>
    <row r="103" spans="1:20">
      <c r="A103" s="201"/>
      <c r="B103" s="202"/>
      <c r="C103" s="202"/>
      <c r="D103" s="203"/>
      <c r="E103" s="204" t="s">
        <v>535</v>
      </c>
      <c r="F103" s="260" t="s">
        <v>62</v>
      </c>
      <c r="G103" s="202">
        <v>80.900000000000006</v>
      </c>
      <c r="H103" s="202">
        <v>71.400000000000006</v>
      </c>
      <c r="I103" s="202">
        <v>22.3</v>
      </c>
      <c r="J103" s="202">
        <f t="shared" si="15"/>
        <v>9.5</v>
      </c>
      <c r="K103" s="202">
        <f t="shared" si="15"/>
        <v>49.100000000000009</v>
      </c>
      <c r="L103" s="205">
        <f t="shared" si="17"/>
        <v>0.19348268839103866</v>
      </c>
      <c r="M103" s="263"/>
      <c r="N103" s="175">
        <f t="shared" si="19"/>
        <v>0.9674134419551933</v>
      </c>
      <c r="O103" s="168">
        <v>26.34</v>
      </c>
      <c r="P103" s="168">
        <v>26.46</v>
      </c>
      <c r="R103" s="168">
        <v>0.19348268839103866</v>
      </c>
      <c r="S103" s="168">
        <v>26.34</v>
      </c>
      <c r="T103" s="168">
        <v>26.46</v>
      </c>
    </row>
    <row r="104" spans="1:20">
      <c r="A104" s="196"/>
      <c r="B104" s="197"/>
      <c r="C104" s="197"/>
      <c r="D104" s="198"/>
      <c r="E104" s="199" t="s">
        <v>536</v>
      </c>
      <c r="F104" s="234" t="s">
        <v>59</v>
      </c>
      <c r="G104" s="197">
        <v>95.5</v>
      </c>
      <c r="H104" s="197">
        <v>85.2</v>
      </c>
      <c r="I104" s="197">
        <v>22.1</v>
      </c>
      <c r="J104" s="197">
        <f t="shared" si="15"/>
        <v>10.299999999999997</v>
      </c>
      <c r="K104" s="197">
        <f t="shared" si="15"/>
        <v>63.1</v>
      </c>
      <c r="L104" s="200">
        <f t="shared" si="17"/>
        <v>0.1632329635499207</v>
      </c>
      <c r="M104" s="225"/>
      <c r="N104" s="175">
        <f t="shared" si="19"/>
        <v>0.81616481774960348</v>
      </c>
      <c r="O104" s="168">
        <v>12.31</v>
      </c>
      <c r="P104" s="168">
        <v>12.61</v>
      </c>
      <c r="R104" s="168">
        <v>0.1632329635499207</v>
      </c>
      <c r="S104" s="168">
        <v>11.63</v>
      </c>
      <c r="T104" s="168">
        <v>12.13</v>
      </c>
    </row>
    <row r="105" spans="1:20">
      <c r="A105" s="196"/>
      <c r="B105" s="197"/>
      <c r="C105" s="197" t="s">
        <v>537</v>
      </c>
      <c r="D105" s="198"/>
      <c r="E105" s="199" t="s">
        <v>538</v>
      </c>
      <c r="F105" s="226" t="s">
        <v>262</v>
      </c>
      <c r="G105" s="197">
        <v>101.1</v>
      </c>
      <c r="H105" s="197">
        <v>91.7</v>
      </c>
      <c r="I105" s="197">
        <v>24.1</v>
      </c>
      <c r="J105" s="197">
        <f t="shared" si="15"/>
        <v>9.3999999999999915</v>
      </c>
      <c r="K105" s="197">
        <f t="shared" si="15"/>
        <v>67.599999999999994</v>
      </c>
      <c r="L105" s="200">
        <f t="shared" si="17"/>
        <v>0.1390532544378697</v>
      </c>
      <c r="M105" s="225"/>
      <c r="N105" s="175">
        <f t="shared" si="19"/>
        <v>0.69526627218934844</v>
      </c>
      <c r="O105" s="168">
        <v>23.29</v>
      </c>
      <c r="P105" s="168">
        <v>23.56</v>
      </c>
      <c r="R105" s="168">
        <v>0.1390532544378697</v>
      </c>
      <c r="S105" s="168">
        <v>22.94</v>
      </c>
      <c r="T105" s="168">
        <v>22.22</v>
      </c>
    </row>
    <row r="106" spans="1:20">
      <c r="A106" s="196"/>
      <c r="B106" s="197"/>
      <c r="C106" s="197"/>
      <c r="D106" s="198"/>
      <c r="E106" s="199" t="s">
        <v>539</v>
      </c>
      <c r="F106" s="226" t="s">
        <v>60</v>
      </c>
      <c r="G106" s="197">
        <v>91.7</v>
      </c>
      <c r="H106" s="197">
        <v>82.3</v>
      </c>
      <c r="I106" s="197">
        <v>23.7</v>
      </c>
      <c r="J106" s="197">
        <f t="shared" si="15"/>
        <v>9.4000000000000057</v>
      </c>
      <c r="K106" s="197">
        <f t="shared" si="15"/>
        <v>58.599999999999994</v>
      </c>
      <c r="L106" s="200">
        <f t="shared" si="17"/>
        <v>0.16040955631399328</v>
      </c>
      <c r="M106" s="225"/>
      <c r="N106" s="175">
        <f t="shared" si="19"/>
        <v>0.80204778156996637</v>
      </c>
      <c r="O106" s="168">
        <v>23.01</v>
      </c>
      <c r="P106" s="168">
        <v>21.45</v>
      </c>
      <c r="R106" s="168">
        <v>0.16040955631399328</v>
      </c>
      <c r="S106" s="168">
        <v>21.83</v>
      </c>
      <c r="T106" s="168">
        <v>22.18</v>
      </c>
    </row>
    <row r="107" spans="1:20">
      <c r="A107" s="196"/>
      <c r="B107" s="197"/>
      <c r="C107" s="197"/>
      <c r="D107" s="198"/>
      <c r="E107" s="199" t="s">
        <v>386</v>
      </c>
      <c r="F107" s="226" t="s">
        <v>61</v>
      </c>
      <c r="G107" s="197">
        <v>95.1</v>
      </c>
      <c r="H107" s="197">
        <v>85.9</v>
      </c>
      <c r="I107" s="197">
        <v>29.2</v>
      </c>
      <c r="J107" s="197">
        <f t="shared" si="15"/>
        <v>9.1999999999999886</v>
      </c>
      <c r="K107" s="197">
        <f t="shared" si="15"/>
        <v>56.7</v>
      </c>
      <c r="L107" s="200">
        <f t="shared" si="17"/>
        <v>0.16225749559082872</v>
      </c>
      <c r="M107" s="225"/>
      <c r="N107" s="175">
        <f t="shared" si="19"/>
        <v>0.81128747795414358</v>
      </c>
      <c r="O107" s="168">
        <v>23.11</v>
      </c>
      <c r="P107" s="168">
        <v>20.85</v>
      </c>
      <c r="R107" s="168">
        <v>0.16225749559082872</v>
      </c>
      <c r="S107" s="168">
        <v>21.28</v>
      </c>
      <c r="T107" s="168">
        <v>22.95</v>
      </c>
    </row>
    <row r="108" spans="1:20">
      <c r="A108" s="201"/>
      <c r="B108" s="202"/>
      <c r="C108" s="202"/>
      <c r="D108" s="203"/>
      <c r="E108" s="204" t="s">
        <v>540</v>
      </c>
      <c r="F108" s="260" t="s">
        <v>62</v>
      </c>
      <c r="G108" s="202">
        <v>86.9</v>
      </c>
      <c r="H108" s="202">
        <v>77.2</v>
      </c>
      <c r="I108" s="202">
        <v>22.8</v>
      </c>
      <c r="J108" s="202">
        <f t="shared" si="15"/>
        <v>9.7000000000000028</v>
      </c>
      <c r="K108" s="202">
        <f t="shared" si="15"/>
        <v>54.400000000000006</v>
      </c>
      <c r="L108" s="205">
        <f t="shared" si="17"/>
        <v>0.1783088235294118</v>
      </c>
      <c r="M108" s="263"/>
      <c r="N108" s="175">
        <f t="shared" si="19"/>
        <v>0.89154411764705899</v>
      </c>
      <c r="O108" s="168">
        <v>24.19</v>
      </c>
      <c r="P108" s="168">
        <v>14.4</v>
      </c>
      <c r="R108" s="168">
        <v>0.1783088235294118</v>
      </c>
      <c r="S108" s="168">
        <v>15.72</v>
      </c>
      <c r="T108" s="168">
        <v>25.01</v>
      </c>
    </row>
    <row r="109" spans="1:20">
      <c r="A109" s="191" t="s">
        <v>417</v>
      </c>
      <c r="C109" s="192"/>
      <c r="D109" s="193"/>
      <c r="E109" s="194" t="s">
        <v>404</v>
      </c>
      <c r="F109" s="194" t="s">
        <v>59</v>
      </c>
      <c r="G109" s="235">
        <v>86.7</v>
      </c>
      <c r="H109" s="235">
        <v>78.3</v>
      </c>
      <c r="I109" s="235">
        <v>23.7</v>
      </c>
      <c r="J109" s="235">
        <f t="shared" si="15"/>
        <v>8.4000000000000057</v>
      </c>
      <c r="K109" s="235">
        <f t="shared" si="15"/>
        <v>54.599999999999994</v>
      </c>
      <c r="L109" s="236">
        <f t="shared" si="17"/>
        <v>0.15384615384615397</v>
      </c>
      <c r="M109" s="237"/>
      <c r="N109" s="230">
        <f>L109/0.2</f>
        <v>0.76923076923076983</v>
      </c>
      <c r="O109" s="168">
        <v>11.63</v>
      </c>
      <c r="P109" s="168">
        <v>12.13</v>
      </c>
      <c r="R109" s="168">
        <v>0.15384615384615397</v>
      </c>
      <c r="S109" s="168">
        <v>12.31</v>
      </c>
      <c r="T109" s="168">
        <v>12.61</v>
      </c>
    </row>
    <row r="110" spans="1:20">
      <c r="A110" s="196"/>
      <c r="B110" s="197"/>
      <c r="C110" s="197"/>
      <c r="D110" s="198"/>
      <c r="E110" s="199" t="s">
        <v>415</v>
      </c>
      <c r="F110" s="199" t="s">
        <v>262</v>
      </c>
      <c r="G110" s="227">
        <v>102.3</v>
      </c>
      <c r="H110" s="227">
        <v>90.9</v>
      </c>
      <c r="I110" s="227">
        <v>21.5</v>
      </c>
      <c r="J110" s="227">
        <f t="shared" si="15"/>
        <v>11.399999999999991</v>
      </c>
      <c r="K110" s="227">
        <f t="shared" si="15"/>
        <v>69.400000000000006</v>
      </c>
      <c r="L110" s="228">
        <f t="shared" si="17"/>
        <v>0.16426512968299697</v>
      </c>
      <c r="M110" s="229"/>
      <c r="N110" s="230">
        <f t="shared" ref="N110:N118" si="20">L110/0.2</f>
        <v>0.82132564841498479</v>
      </c>
      <c r="O110" s="168">
        <v>22.94</v>
      </c>
      <c r="P110" s="168">
        <v>22.22</v>
      </c>
      <c r="R110" s="168">
        <v>0.16426512968299697</v>
      </c>
      <c r="S110" s="168">
        <v>23.29</v>
      </c>
      <c r="T110" s="168">
        <v>23.56</v>
      </c>
    </row>
    <row r="111" spans="1:20">
      <c r="A111" s="196"/>
      <c r="B111" s="197"/>
      <c r="C111" s="197" t="s">
        <v>541</v>
      </c>
      <c r="D111" s="198"/>
      <c r="E111" s="199" t="s">
        <v>542</v>
      </c>
      <c r="F111" s="226" t="s">
        <v>60</v>
      </c>
      <c r="G111" s="197">
        <v>98.3</v>
      </c>
      <c r="H111" s="197">
        <v>88.3</v>
      </c>
      <c r="I111" s="197">
        <v>22.7</v>
      </c>
      <c r="J111" s="197">
        <f t="shared" ref="J111:K128" si="21">G111-H111</f>
        <v>10</v>
      </c>
      <c r="K111" s="197">
        <f t="shared" si="21"/>
        <v>65.599999999999994</v>
      </c>
      <c r="L111" s="200">
        <f t="shared" si="17"/>
        <v>0.15243902439024393</v>
      </c>
      <c r="M111" s="225"/>
      <c r="N111" s="175">
        <f t="shared" si="20"/>
        <v>0.76219512195121963</v>
      </c>
      <c r="O111" s="168">
        <v>21.83</v>
      </c>
      <c r="P111" s="168">
        <v>22.18</v>
      </c>
      <c r="R111" s="168">
        <v>0.15243902439024393</v>
      </c>
      <c r="S111" s="168">
        <v>23.01</v>
      </c>
      <c r="T111" s="168">
        <v>21.45</v>
      </c>
    </row>
    <row r="112" spans="1:20">
      <c r="A112" s="196"/>
      <c r="B112" s="197"/>
      <c r="C112" s="197"/>
      <c r="D112" s="198"/>
      <c r="E112" s="199" t="s">
        <v>398</v>
      </c>
      <c r="F112" s="226" t="s">
        <v>61</v>
      </c>
      <c r="G112" s="197">
        <v>81.2</v>
      </c>
      <c r="H112" s="197">
        <v>75.5</v>
      </c>
      <c r="I112" s="197">
        <v>22.5</v>
      </c>
      <c r="J112" s="197">
        <f t="shared" si="21"/>
        <v>5.7000000000000028</v>
      </c>
      <c r="K112" s="197">
        <f t="shared" si="21"/>
        <v>53</v>
      </c>
      <c r="L112" s="200">
        <f t="shared" si="17"/>
        <v>0.10754716981132081</v>
      </c>
      <c r="M112" s="225"/>
      <c r="N112" s="175">
        <f t="shared" si="20"/>
        <v>0.53773584905660399</v>
      </c>
      <c r="O112" s="168">
        <v>21.28</v>
      </c>
      <c r="P112" s="168">
        <v>22.95</v>
      </c>
      <c r="R112" s="168">
        <v>0.10754716981132081</v>
      </c>
      <c r="S112" s="168">
        <v>23.11</v>
      </c>
      <c r="T112" s="168">
        <v>20.85</v>
      </c>
    </row>
    <row r="113" spans="1:20">
      <c r="A113" s="201"/>
      <c r="B113" s="202"/>
      <c r="C113" s="202"/>
      <c r="D113" s="203"/>
      <c r="E113" s="204" t="s">
        <v>394</v>
      </c>
      <c r="F113" s="260" t="s">
        <v>62</v>
      </c>
      <c r="G113" s="202">
        <v>97.4</v>
      </c>
      <c r="H113" s="202">
        <v>88.7</v>
      </c>
      <c r="I113" s="202">
        <v>21.3</v>
      </c>
      <c r="J113" s="202">
        <f t="shared" si="21"/>
        <v>8.7000000000000028</v>
      </c>
      <c r="K113" s="202">
        <f t="shared" si="21"/>
        <v>67.400000000000006</v>
      </c>
      <c r="L113" s="205">
        <f t="shared" si="17"/>
        <v>0.12908011869436206</v>
      </c>
      <c r="M113" s="263"/>
      <c r="N113" s="175">
        <f t="shared" si="20"/>
        <v>0.64540059347181022</v>
      </c>
      <c r="O113" s="168">
        <v>15.72</v>
      </c>
      <c r="P113" s="168">
        <v>25.01</v>
      </c>
      <c r="R113" s="168">
        <v>0.12908011869436206</v>
      </c>
      <c r="S113" s="168">
        <v>24.19</v>
      </c>
      <c r="T113" s="168">
        <v>14.4</v>
      </c>
    </row>
    <row r="114" spans="1:20">
      <c r="A114" s="196"/>
      <c r="B114" s="197"/>
      <c r="C114" s="197"/>
      <c r="D114" s="198"/>
      <c r="E114" s="199" t="s">
        <v>397</v>
      </c>
      <c r="F114" s="194" t="s">
        <v>59</v>
      </c>
      <c r="G114" s="197">
        <v>86.6</v>
      </c>
      <c r="H114" s="197">
        <v>78.5</v>
      </c>
      <c r="I114" s="197">
        <v>23.6</v>
      </c>
      <c r="J114" s="197">
        <f t="shared" si="21"/>
        <v>8.0999999999999943</v>
      </c>
      <c r="K114" s="197">
        <f t="shared" si="21"/>
        <v>54.9</v>
      </c>
      <c r="L114" s="200">
        <f t="shared" si="17"/>
        <v>0.14754098360655729</v>
      </c>
      <c r="M114" s="225"/>
      <c r="N114" s="175">
        <f t="shared" si="20"/>
        <v>0.73770491803278637</v>
      </c>
      <c r="O114" s="168">
        <v>12.97</v>
      </c>
      <c r="P114" s="168">
        <v>14.37</v>
      </c>
      <c r="R114" s="168">
        <v>0.14754098360655729</v>
      </c>
      <c r="S114" s="168">
        <v>12.97</v>
      </c>
      <c r="T114" s="168">
        <v>14.37</v>
      </c>
    </row>
    <row r="115" spans="1:20">
      <c r="A115" s="196"/>
      <c r="B115" s="197"/>
      <c r="C115" s="197"/>
      <c r="D115" s="198"/>
      <c r="E115" s="199" t="s">
        <v>409</v>
      </c>
      <c r="F115" s="199" t="s">
        <v>262</v>
      </c>
      <c r="G115" s="197">
        <v>98</v>
      </c>
      <c r="H115" s="197">
        <v>88.2</v>
      </c>
      <c r="I115" s="197">
        <v>24.3</v>
      </c>
      <c r="J115" s="197">
        <f t="shared" si="21"/>
        <v>9.7999999999999972</v>
      </c>
      <c r="K115" s="197">
        <f t="shared" si="21"/>
        <v>63.900000000000006</v>
      </c>
      <c r="L115" s="200">
        <f t="shared" si="17"/>
        <v>0.15336463223787161</v>
      </c>
      <c r="M115" s="225"/>
      <c r="N115" s="175">
        <f t="shared" si="20"/>
        <v>0.766823161189358</v>
      </c>
      <c r="O115" s="168">
        <v>20.94</v>
      </c>
      <c r="P115" s="168">
        <v>22.12</v>
      </c>
      <c r="R115" s="168">
        <v>0.15336463223787161</v>
      </c>
      <c r="S115" s="168">
        <v>20.94</v>
      </c>
      <c r="T115" s="168">
        <v>22.12</v>
      </c>
    </row>
    <row r="116" spans="1:20">
      <c r="A116" s="196"/>
      <c r="B116" s="197"/>
      <c r="C116" s="197" t="s">
        <v>543</v>
      </c>
      <c r="D116" s="198"/>
      <c r="E116" s="199" t="s">
        <v>400</v>
      </c>
      <c r="F116" s="226" t="s">
        <v>60</v>
      </c>
      <c r="G116" s="197">
        <v>100.8</v>
      </c>
      <c r="H116" s="197">
        <v>90</v>
      </c>
      <c r="I116" s="197">
        <v>22.5</v>
      </c>
      <c r="J116" s="197">
        <f t="shared" si="21"/>
        <v>10.799999999999997</v>
      </c>
      <c r="K116" s="197">
        <f t="shared" si="21"/>
        <v>67.5</v>
      </c>
      <c r="L116" s="200">
        <f t="shared" si="17"/>
        <v>0.15999999999999995</v>
      </c>
      <c r="M116" s="225"/>
      <c r="N116" s="175">
        <f t="shared" si="20"/>
        <v>0.79999999999999971</v>
      </c>
      <c r="O116" s="168">
        <v>19.95</v>
      </c>
      <c r="P116" s="168">
        <v>20.010000000000002</v>
      </c>
      <c r="R116" s="168">
        <v>0.15999999999999995</v>
      </c>
      <c r="S116" s="168">
        <v>19.95</v>
      </c>
      <c r="T116" s="168">
        <v>20.010000000000002</v>
      </c>
    </row>
    <row r="117" spans="1:20">
      <c r="A117" s="196"/>
      <c r="B117" s="197"/>
      <c r="C117" s="197"/>
      <c r="D117" s="198"/>
      <c r="E117" s="199" t="s">
        <v>544</v>
      </c>
      <c r="F117" s="226" t="s">
        <v>61</v>
      </c>
      <c r="G117" s="197">
        <v>92.1</v>
      </c>
      <c r="H117" s="197">
        <v>83.8</v>
      </c>
      <c r="I117" s="197">
        <v>23.6</v>
      </c>
      <c r="J117" s="197">
        <f t="shared" si="21"/>
        <v>8.2999999999999972</v>
      </c>
      <c r="K117" s="197">
        <f t="shared" si="21"/>
        <v>60.199999999999996</v>
      </c>
      <c r="L117" s="200">
        <f t="shared" si="17"/>
        <v>0.13787375415282388</v>
      </c>
      <c r="M117" s="225"/>
      <c r="N117" s="175">
        <f t="shared" si="20"/>
        <v>0.6893687707641194</v>
      </c>
      <c r="O117" s="168">
        <v>21.71</v>
      </c>
      <c r="P117" s="168">
        <v>22.12</v>
      </c>
      <c r="R117" s="168">
        <v>0.13787375415282388</v>
      </c>
      <c r="S117" s="168">
        <v>21.71</v>
      </c>
      <c r="T117" s="168">
        <v>22.12</v>
      </c>
    </row>
    <row r="118" spans="1:20">
      <c r="A118" s="201"/>
      <c r="B118" s="202"/>
      <c r="C118" s="202"/>
      <c r="D118" s="203"/>
      <c r="E118" s="204" t="s">
        <v>396</v>
      </c>
      <c r="F118" s="260" t="s">
        <v>62</v>
      </c>
      <c r="G118" s="202">
        <v>96.9</v>
      </c>
      <c r="H118" s="202">
        <v>86.8</v>
      </c>
      <c r="I118" s="202">
        <v>24.3</v>
      </c>
      <c r="J118" s="202">
        <f t="shared" si="21"/>
        <v>10.100000000000009</v>
      </c>
      <c r="K118" s="202">
        <f t="shared" si="21"/>
        <v>62.5</v>
      </c>
      <c r="L118" s="205">
        <f t="shared" si="17"/>
        <v>0.16160000000000013</v>
      </c>
      <c r="M118" s="263"/>
      <c r="N118" s="175">
        <f t="shared" si="20"/>
        <v>0.80800000000000061</v>
      </c>
      <c r="O118" s="168">
        <v>25.56</v>
      </c>
      <c r="P118" s="168">
        <v>25.83</v>
      </c>
      <c r="R118" s="168">
        <v>0.16160000000000013</v>
      </c>
      <c r="S118" s="168">
        <v>25.56</v>
      </c>
      <c r="T118" s="168">
        <v>25.83</v>
      </c>
    </row>
    <row r="119" spans="1:20">
      <c r="A119" s="191" t="s">
        <v>417</v>
      </c>
      <c r="C119" s="192"/>
      <c r="D119" s="193"/>
      <c r="E119" s="194" t="s">
        <v>545</v>
      </c>
      <c r="F119" s="194" t="s">
        <v>59</v>
      </c>
      <c r="G119" s="235">
        <v>97.7</v>
      </c>
      <c r="H119" s="235">
        <v>88.3</v>
      </c>
      <c r="I119" s="235">
        <v>25.3</v>
      </c>
      <c r="J119" s="235">
        <f t="shared" si="21"/>
        <v>9.4000000000000057</v>
      </c>
      <c r="K119" s="235">
        <f t="shared" si="21"/>
        <v>63</v>
      </c>
      <c r="L119" s="236">
        <f t="shared" si="17"/>
        <v>0.14920634920634929</v>
      </c>
      <c r="M119" s="237"/>
      <c r="N119" s="230">
        <f>L119/0.2</f>
        <v>0.74603174603174638</v>
      </c>
      <c r="O119" s="168">
        <v>13.04</v>
      </c>
      <c r="P119" s="168">
        <v>12.46</v>
      </c>
      <c r="R119" s="168">
        <v>0.14920634920634929</v>
      </c>
      <c r="S119" s="168">
        <v>13.04</v>
      </c>
      <c r="T119" s="168">
        <v>12.46</v>
      </c>
    </row>
    <row r="120" spans="1:20">
      <c r="A120" s="196"/>
      <c r="B120" s="197"/>
      <c r="C120" s="197"/>
      <c r="D120" s="198"/>
      <c r="E120" s="199" t="s">
        <v>546</v>
      </c>
      <c r="F120" s="199" t="s">
        <v>262</v>
      </c>
      <c r="G120" s="227">
        <v>66.400000000000006</v>
      </c>
      <c r="H120" s="227">
        <v>60.6</v>
      </c>
      <c r="I120" s="227">
        <v>23.2</v>
      </c>
      <c r="J120" s="227">
        <f t="shared" si="21"/>
        <v>5.8000000000000043</v>
      </c>
      <c r="K120" s="227">
        <f t="shared" si="21"/>
        <v>37.400000000000006</v>
      </c>
      <c r="L120" s="228">
        <f t="shared" si="17"/>
        <v>0.15508021390374341</v>
      </c>
      <c r="M120" s="229"/>
      <c r="N120" s="230">
        <f t="shared" ref="N120:N121" si="22">L120/0.2</f>
        <v>0.77540106951871701</v>
      </c>
      <c r="O120" s="168">
        <v>21.56</v>
      </c>
      <c r="P120" s="168">
        <v>21.87</v>
      </c>
      <c r="R120" s="168">
        <v>0.15508021390374341</v>
      </c>
      <c r="S120" s="168">
        <v>21.56</v>
      </c>
      <c r="T120" s="168">
        <v>21.87</v>
      </c>
    </row>
    <row r="121" spans="1:20">
      <c r="A121" s="196"/>
      <c r="B121" s="197"/>
      <c r="C121" s="197" t="s">
        <v>547</v>
      </c>
      <c r="D121" s="198"/>
      <c r="E121" s="199" t="s">
        <v>338</v>
      </c>
      <c r="F121" s="226" t="s">
        <v>60</v>
      </c>
      <c r="G121" s="197">
        <v>96.1</v>
      </c>
      <c r="H121" s="197">
        <v>88.7</v>
      </c>
      <c r="I121" s="197">
        <v>23.1</v>
      </c>
      <c r="J121" s="197">
        <f t="shared" si="21"/>
        <v>7.3999999999999915</v>
      </c>
      <c r="K121" s="197">
        <f t="shared" si="21"/>
        <v>65.599999999999994</v>
      </c>
      <c r="L121" s="200">
        <f t="shared" si="17"/>
        <v>0.11280487804878037</v>
      </c>
      <c r="M121" s="225"/>
      <c r="N121" s="175">
        <f t="shared" si="22"/>
        <v>0.56402439024390183</v>
      </c>
      <c r="O121" s="168">
        <v>20.22</v>
      </c>
      <c r="P121" s="168">
        <v>21.27</v>
      </c>
      <c r="R121" s="168">
        <v>0.11280487804878037</v>
      </c>
      <c r="S121" s="168">
        <v>20.22</v>
      </c>
      <c r="T121" s="168">
        <v>21.27</v>
      </c>
    </row>
    <row r="122" spans="1:20">
      <c r="A122" s="196"/>
      <c r="B122" s="197"/>
      <c r="C122" s="197"/>
      <c r="D122" s="198"/>
      <c r="E122" s="199" t="s">
        <v>393</v>
      </c>
      <c r="F122" s="226" t="s">
        <v>61</v>
      </c>
      <c r="G122" s="197">
        <v>92.8</v>
      </c>
      <c r="H122" s="197">
        <v>83.3</v>
      </c>
      <c r="I122" s="197">
        <v>21.6</v>
      </c>
      <c r="J122" s="197">
        <f t="shared" si="21"/>
        <v>9.5</v>
      </c>
      <c r="K122" s="197">
        <f>H122-I122</f>
        <v>61.699999999999996</v>
      </c>
      <c r="L122" s="200">
        <f>J122/K122</f>
        <v>0.15397082658022693</v>
      </c>
      <c r="M122" s="225"/>
      <c r="N122" s="175">
        <f>L122/0.2</f>
        <v>0.76985413290113458</v>
      </c>
      <c r="O122" s="168">
        <v>22.57</v>
      </c>
      <c r="P122" s="168">
        <v>22.98</v>
      </c>
      <c r="R122" s="168">
        <v>0.15397082658022693</v>
      </c>
      <c r="S122" s="168">
        <v>22.57</v>
      </c>
      <c r="T122" s="168">
        <v>22.98</v>
      </c>
    </row>
    <row r="123" spans="1:20">
      <c r="A123" s="201"/>
      <c r="B123" s="202"/>
      <c r="C123" s="202"/>
      <c r="D123" s="203"/>
      <c r="E123" s="204" t="s">
        <v>548</v>
      </c>
      <c r="F123" s="260" t="s">
        <v>62</v>
      </c>
      <c r="G123" s="202">
        <v>83.6</v>
      </c>
      <c r="H123" s="202">
        <v>75.900000000000006</v>
      </c>
      <c r="I123" s="202">
        <v>25.7</v>
      </c>
      <c r="J123" s="202">
        <f t="shared" si="21"/>
        <v>7.6999999999999886</v>
      </c>
      <c r="K123" s="202">
        <f t="shared" si="21"/>
        <v>50.2</v>
      </c>
      <c r="L123" s="205">
        <f t="shared" ref="L123:L128" si="23">J123/K123</f>
        <v>0.15338645418326669</v>
      </c>
      <c r="M123" s="263"/>
      <c r="N123" s="175">
        <f t="shared" ref="N123:N128" si="24">L123/0.2</f>
        <v>0.76693227091633343</v>
      </c>
      <c r="O123" s="168">
        <v>21.9</v>
      </c>
      <c r="P123" s="168">
        <v>22.13</v>
      </c>
      <c r="R123" s="168">
        <v>0.15338645418326669</v>
      </c>
      <c r="S123" s="168">
        <v>21.9</v>
      </c>
      <c r="T123" s="168">
        <v>22.13</v>
      </c>
    </row>
    <row r="124" spans="1:20">
      <c r="A124" s="196"/>
      <c r="B124" s="197"/>
      <c r="C124" s="197"/>
      <c r="D124" s="198"/>
      <c r="E124" s="199" t="s">
        <v>549</v>
      </c>
      <c r="F124" s="234" t="s">
        <v>59</v>
      </c>
      <c r="G124" s="197">
        <v>92.3</v>
      </c>
      <c r="H124" s="197">
        <v>85.2</v>
      </c>
      <c r="I124" s="197">
        <v>29.2</v>
      </c>
      <c r="J124" s="197">
        <f t="shared" si="21"/>
        <v>7.0999999999999943</v>
      </c>
      <c r="K124" s="197">
        <f t="shared" si="21"/>
        <v>56</v>
      </c>
      <c r="L124" s="200">
        <f t="shared" si="23"/>
        <v>0.1267857142857142</v>
      </c>
      <c r="M124" s="225"/>
      <c r="N124" s="175">
        <f t="shared" si="24"/>
        <v>0.63392857142857095</v>
      </c>
      <c r="O124" s="168">
        <v>22.66</v>
      </c>
      <c r="P124" s="168">
        <v>13.79</v>
      </c>
      <c r="R124" s="168">
        <v>0.1267857142857142</v>
      </c>
      <c r="S124" s="168">
        <v>22.66</v>
      </c>
      <c r="T124" s="168">
        <v>13.79</v>
      </c>
    </row>
    <row r="125" spans="1:20">
      <c r="A125" s="196"/>
      <c r="B125" s="197"/>
      <c r="C125" s="197"/>
      <c r="D125" s="198"/>
      <c r="E125" s="199" t="s">
        <v>550</v>
      </c>
      <c r="F125" s="226" t="s">
        <v>262</v>
      </c>
      <c r="G125" s="197">
        <v>90.6</v>
      </c>
      <c r="H125" s="197">
        <v>83.6</v>
      </c>
      <c r="I125" s="197">
        <v>29.8</v>
      </c>
      <c r="J125" s="197">
        <f t="shared" si="21"/>
        <v>7</v>
      </c>
      <c r="K125" s="197">
        <f t="shared" si="21"/>
        <v>53.8</v>
      </c>
      <c r="L125" s="200">
        <f t="shared" si="23"/>
        <v>0.13011152416356878</v>
      </c>
      <c r="M125" s="225"/>
      <c r="N125" s="175">
        <f t="shared" si="24"/>
        <v>0.65055762081784385</v>
      </c>
      <c r="O125" s="168">
        <v>16.55</v>
      </c>
      <c r="P125" s="168">
        <v>12.57</v>
      </c>
      <c r="R125" s="168">
        <v>0.13011152416356878</v>
      </c>
      <c r="S125" s="168">
        <v>16.55</v>
      </c>
      <c r="T125" s="168">
        <v>12.57</v>
      </c>
    </row>
    <row r="126" spans="1:20">
      <c r="A126" s="196"/>
      <c r="B126" s="197"/>
      <c r="C126" s="197" t="s">
        <v>551</v>
      </c>
      <c r="D126" s="198"/>
      <c r="E126" s="199" t="s">
        <v>552</v>
      </c>
      <c r="F126" s="226" t="s">
        <v>60</v>
      </c>
      <c r="G126" s="197">
        <v>104</v>
      </c>
      <c r="H126" s="197">
        <v>93.8</v>
      </c>
      <c r="I126" s="197">
        <v>23.5</v>
      </c>
      <c r="J126" s="197">
        <f t="shared" si="21"/>
        <v>10.200000000000003</v>
      </c>
      <c r="K126" s="197">
        <f t="shared" si="21"/>
        <v>70.3</v>
      </c>
      <c r="L126" s="200">
        <f t="shared" si="23"/>
        <v>0.14509246088193462</v>
      </c>
      <c r="M126" s="225"/>
      <c r="N126" s="175">
        <f t="shared" si="24"/>
        <v>0.72546230440967308</v>
      </c>
      <c r="O126" s="168">
        <v>20.49</v>
      </c>
      <c r="P126" s="168">
        <v>20.67</v>
      </c>
      <c r="R126" s="168">
        <v>0.14509246088193462</v>
      </c>
      <c r="S126" s="168">
        <v>20.49</v>
      </c>
      <c r="T126" s="168">
        <v>20.67</v>
      </c>
    </row>
    <row r="127" spans="1:20">
      <c r="A127" s="196"/>
      <c r="B127" s="197"/>
      <c r="C127" s="197"/>
      <c r="D127" s="198"/>
      <c r="E127" s="199" t="s">
        <v>416</v>
      </c>
      <c r="F127" s="226" t="s">
        <v>61</v>
      </c>
      <c r="G127" s="197">
        <v>104.3</v>
      </c>
      <c r="H127" s="197">
        <v>93</v>
      </c>
      <c r="I127" s="197">
        <v>23.7</v>
      </c>
      <c r="J127" s="197">
        <f t="shared" si="21"/>
        <v>11.299999999999997</v>
      </c>
      <c r="K127" s="197">
        <f t="shared" si="21"/>
        <v>69.3</v>
      </c>
      <c r="L127" s="200">
        <f t="shared" si="23"/>
        <v>0.16305916305916301</v>
      </c>
      <c r="M127" s="225"/>
      <c r="N127" s="175">
        <f t="shared" si="24"/>
        <v>0.81529581529581507</v>
      </c>
      <c r="O127" s="168">
        <v>20.95</v>
      </c>
      <c r="P127" s="168">
        <v>20.95</v>
      </c>
      <c r="R127" s="168">
        <v>0.16305916305916301</v>
      </c>
      <c r="S127" s="168">
        <v>20.95</v>
      </c>
      <c r="T127" s="168">
        <v>20.95</v>
      </c>
    </row>
    <row r="128" spans="1:20">
      <c r="A128" s="201"/>
      <c r="B128" s="202"/>
      <c r="C128" s="202"/>
      <c r="D128" s="203"/>
      <c r="E128" s="204" t="s">
        <v>405</v>
      </c>
      <c r="F128" s="260" t="s">
        <v>62</v>
      </c>
      <c r="G128" s="202">
        <v>89.9</v>
      </c>
      <c r="H128" s="202">
        <v>78.900000000000006</v>
      </c>
      <c r="I128" s="202">
        <v>24.1</v>
      </c>
      <c r="J128" s="202">
        <f t="shared" si="21"/>
        <v>11</v>
      </c>
      <c r="K128" s="202">
        <f t="shared" si="21"/>
        <v>54.800000000000004</v>
      </c>
      <c r="L128" s="205">
        <f t="shared" si="23"/>
        <v>0.20072992700729925</v>
      </c>
      <c r="M128" s="263"/>
      <c r="N128" s="175">
        <f t="shared" si="24"/>
        <v>1.0036496350364961</v>
      </c>
      <c r="O128" s="168">
        <v>22.4</v>
      </c>
      <c r="P128" s="168">
        <v>22.31</v>
      </c>
      <c r="R128" s="168">
        <v>0.20072992700729925</v>
      </c>
      <c r="S128" s="168">
        <v>22.4</v>
      </c>
      <c r="T128" s="168">
        <v>22.31</v>
      </c>
    </row>
    <row r="129" spans="19:20">
      <c r="S129" s="168">
        <f>CORREL(S4:S128,R4:R128)</f>
        <v>0.36725776496411933</v>
      </c>
      <c r="T129" s="168">
        <f>CORREL(T4:T128,R4:R128)</f>
        <v>0.60570608915852198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23"/>
  <sheetViews>
    <sheetView workbookViewId="0">
      <selection activeCell="F11" sqref="F11"/>
    </sheetView>
  </sheetViews>
  <sheetFormatPr defaultRowHeight="15"/>
  <cols>
    <col min="1" max="1" width="10.7109375" style="168" bestFit="1" customWidth="1"/>
    <col min="2" max="2" width="9.140625" style="171"/>
    <col min="3" max="3" width="11.85546875" style="171" customWidth="1"/>
    <col min="4" max="4" width="9.140625" style="171"/>
    <col min="5" max="5" width="14.28515625" style="171" customWidth="1"/>
    <col min="6" max="6" width="9.140625" style="168"/>
    <col min="7" max="7" width="9.140625" style="171"/>
    <col min="8" max="8" width="9.140625" style="168"/>
    <col min="9" max="9" width="13.42578125" style="168" customWidth="1"/>
    <col min="10" max="11" width="9.140625" style="168" customWidth="1"/>
    <col min="12" max="12" width="13.85546875" style="168" customWidth="1"/>
    <col min="13" max="13" width="16.140625" style="168" customWidth="1"/>
    <col min="14" max="16384" width="9.140625" style="168"/>
  </cols>
  <sheetData>
    <row r="1" spans="1:14">
      <c r="A1" s="179">
        <v>42348</v>
      </c>
      <c r="C1" s="188"/>
    </row>
    <row r="2" spans="1:14" ht="49.5" customHeight="1">
      <c r="A2" s="180" t="s">
        <v>228</v>
      </c>
      <c r="B2" s="180" t="s">
        <v>229</v>
      </c>
      <c r="C2" s="180" t="s">
        <v>230</v>
      </c>
      <c r="D2" s="551" t="s">
        <v>757</v>
      </c>
      <c r="E2" s="180" t="s">
        <v>232</v>
      </c>
      <c r="F2" s="180" t="s">
        <v>233</v>
      </c>
      <c r="G2" s="180" t="s">
        <v>234</v>
      </c>
      <c r="H2" s="180" t="s">
        <v>235</v>
      </c>
      <c r="I2" s="180" t="s">
        <v>236</v>
      </c>
      <c r="J2" s="180" t="s">
        <v>237</v>
      </c>
      <c r="K2" s="180" t="s">
        <v>238</v>
      </c>
      <c r="L2" s="180" t="s">
        <v>239</v>
      </c>
      <c r="M2" s="180" t="s">
        <v>239</v>
      </c>
    </row>
    <row r="3" spans="1:14" ht="49.5" customHeight="1">
      <c r="A3" s="180" t="s">
        <v>13</v>
      </c>
      <c r="B3" s="180" t="s">
        <v>242</v>
      </c>
      <c r="C3" s="180" t="s">
        <v>243</v>
      </c>
      <c r="D3" s="180" t="s">
        <v>244</v>
      </c>
      <c r="E3" s="189" t="s">
        <v>245</v>
      </c>
      <c r="F3" s="190" t="s">
        <v>246</v>
      </c>
      <c r="G3" s="190" t="s">
        <v>247</v>
      </c>
      <c r="H3" s="190" t="s">
        <v>248</v>
      </c>
      <c r="I3" s="190" t="s">
        <v>249</v>
      </c>
      <c r="J3" s="190" t="s">
        <v>250</v>
      </c>
      <c r="K3" s="190" t="s">
        <v>251</v>
      </c>
      <c r="L3" s="180" t="s">
        <v>252</v>
      </c>
      <c r="M3" s="180" t="s">
        <v>255</v>
      </c>
    </row>
    <row r="4" spans="1:14">
      <c r="A4" s="191">
        <v>42348</v>
      </c>
      <c r="B4" s="192">
        <v>1</v>
      </c>
      <c r="C4" s="192">
        <v>1</v>
      </c>
      <c r="D4" s="192">
        <v>1</v>
      </c>
      <c r="E4" s="546" t="s">
        <v>421</v>
      </c>
      <c r="F4" s="194" t="s">
        <v>59</v>
      </c>
      <c r="G4" s="192">
        <v>71.2</v>
      </c>
      <c r="H4" s="192">
        <v>62.4</v>
      </c>
      <c r="I4" s="192">
        <v>13.3</v>
      </c>
      <c r="J4" s="192">
        <f t="shared" ref="J4:K13" si="0">G4-H4</f>
        <v>8.8000000000000043</v>
      </c>
      <c r="K4" s="192">
        <f>H4-I4</f>
        <v>49.099999999999994</v>
      </c>
      <c r="L4" s="236">
        <f>J4/K4</f>
        <v>0.17922606924643594</v>
      </c>
      <c r="M4" s="224"/>
    </row>
    <row r="5" spans="1:14">
      <c r="A5" s="196"/>
      <c r="B5" s="197"/>
      <c r="C5" s="197">
        <v>2</v>
      </c>
      <c r="D5" s="197"/>
      <c r="E5" s="547" t="s">
        <v>729</v>
      </c>
      <c r="F5" s="199" t="s">
        <v>262</v>
      </c>
      <c r="G5" s="197">
        <v>97.5</v>
      </c>
      <c r="H5" s="197">
        <v>86.2</v>
      </c>
      <c r="I5" s="197">
        <v>20.100000000000001</v>
      </c>
      <c r="J5" s="197">
        <f t="shared" si="0"/>
        <v>11.299999999999997</v>
      </c>
      <c r="K5" s="197">
        <f t="shared" si="0"/>
        <v>66.099999999999994</v>
      </c>
      <c r="L5" s="200">
        <f t="shared" ref="L5:L13" si="1">J5/K5</f>
        <v>0.17095310136157335</v>
      </c>
      <c r="M5" s="225"/>
    </row>
    <row r="6" spans="1:14">
      <c r="A6" s="196"/>
      <c r="B6" s="197"/>
      <c r="C6" s="197"/>
      <c r="D6" s="197"/>
      <c r="E6" s="547" t="s">
        <v>730</v>
      </c>
      <c r="F6" s="226" t="s">
        <v>60</v>
      </c>
      <c r="G6" s="227">
        <v>86.5</v>
      </c>
      <c r="H6" s="227">
        <v>77.5</v>
      </c>
      <c r="I6" s="227">
        <v>22</v>
      </c>
      <c r="J6" s="227">
        <f t="shared" si="0"/>
        <v>9</v>
      </c>
      <c r="K6" s="227">
        <f t="shared" si="0"/>
        <v>55.5</v>
      </c>
      <c r="L6" s="228">
        <f t="shared" si="1"/>
        <v>0.16216216216216217</v>
      </c>
      <c r="M6" s="229"/>
    </row>
    <row r="7" spans="1:14">
      <c r="A7" s="196"/>
      <c r="B7" s="197"/>
      <c r="C7" s="197"/>
      <c r="D7" s="197"/>
      <c r="E7" s="548" t="s">
        <v>731</v>
      </c>
      <c r="F7" s="226" t="s">
        <v>61</v>
      </c>
      <c r="G7" s="227">
        <v>111.7</v>
      </c>
      <c r="H7" s="232">
        <v>98.6</v>
      </c>
      <c r="I7" s="232">
        <v>21.9</v>
      </c>
      <c r="J7" s="232">
        <f t="shared" si="0"/>
        <v>13.100000000000009</v>
      </c>
      <c r="K7" s="232">
        <f t="shared" si="0"/>
        <v>76.699999999999989</v>
      </c>
      <c r="L7" s="233">
        <f t="shared" si="1"/>
        <v>0.17079530638852686</v>
      </c>
      <c r="M7" s="229"/>
    </row>
    <row r="8" spans="1:14" s="198" customFormat="1">
      <c r="B8" s="197"/>
      <c r="C8" s="197"/>
      <c r="D8" s="197"/>
      <c r="E8" s="547" t="s">
        <v>732</v>
      </c>
      <c r="F8" s="227" t="s">
        <v>62</v>
      </c>
      <c r="G8" s="227">
        <v>89.4</v>
      </c>
      <c r="H8" s="227">
        <v>78.3</v>
      </c>
      <c r="I8" s="227">
        <v>19</v>
      </c>
      <c r="J8" s="227">
        <f t="shared" si="0"/>
        <v>11.100000000000009</v>
      </c>
      <c r="K8" s="227">
        <f t="shared" si="0"/>
        <v>59.3</v>
      </c>
      <c r="L8" s="228">
        <f t="shared" si="1"/>
        <v>0.18718381112984839</v>
      </c>
      <c r="M8" s="228"/>
      <c r="N8" s="168"/>
    </row>
    <row r="9" spans="1:14" s="198" customFormat="1">
      <c r="B9" s="197"/>
      <c r="C9" s="197"/>
      <c r="D9" s="197"/>
      <c r="E9" s="547" t="s">
        <v>733</v>
      </c>
      <c r="F9" s="547" t="s">
        <v>63</v>
      </c>
      <c r="G9" s="227">
        <v>106.3</v>
      </c>
      <c r="H9" s="227">
        <v>92.1</v>
      </c>
      <c r="I9" s="227">
        <v>23.1</v>
      </c>
      <c r="J9" s="227">
        <f t="shared" si="0"/>
        <v>14.200000000000003</v>
      </c>
      <c r="K9" s="227">
        <f t="shared" si="0"/>
        <v>69</v>
      </c>
      <c r="L9" s="228">
        <f>J9/K9</f>
        <v>0.2057971014492754</v>
      </c>
      <c r="M9" s="228"/>
      <c r="N9" s="168"/>
    </row>
    <row r="10" spans="1:14">
      <c r="A10" s="196"/>
      <c r="B10" s="197"/>
      <c r="C10" s="197"/>
      <c r="D10" s="197"/>
      <c r="E10" s="547" t="s">
        <v>734</v>
      </c>
      <c r="F10" s="547" t="s">
        <v>64</v>
      </c>
      <c r="G10" s="227">
        <v>104.9</v>
      </c>
      <c r="H10" s="227">
        <v>90.2</v>
      </c>
      <c r="I10" s="227">
        <v>23.4</v>
      </c>
      <c r="J10" s="227">
        <f t="shared" si="0"/>
        <v>14.700000000000003</v>
      </c>
      <c r="K10" s="227">
        <f t="shared" si="0"/>
        <v>66.800000000000011</v>
      </c>
      <c r="L10" s="228">
        <f t="shared" si="1"/>
        <v>0.22005988023952097</v>
      </c>
      <c r="M10" s="229"/>
    </row>
    <row r="11" spans="1:14">
      <c r="A11" s="196"/>
      <c r="B11" s="197"/>
      <c r="C11" s="197"/>
      <c r="D11" s="197"/>
      <c r="E11" s="548" t="s">
        <v>487</v>
      </c>
      <c r="F11" s="548" t="s">
        <v>65</v>
      </c>
      <c r="G11" s="227">
        <v>99</v>
      </c>
      <c r="H11" s="227">
        <v>84.4</v>
      </c>
      <c r="I11" s="227">
        <v>23.4</v>
      </c>
      <c r="J11" s="227">
        <f t="shared" si="0"/>
        <v>14.599999999999994</v>
      </c>
      <c r="K11" s="227">
        <f t="shared" si="0"/>
        <v>61.000000000000007</v>
      </c>
      <c r="L11" s="228">
        <f t="shared" si="1"/>
        <v>0.23934426229508185</v>
      </c>
      <c r="M11" s="229"/>
    </row>
    <row r="12" spans="1:14">
      <c r="A12" s="196"/>
      <c r="B12" s="197"/>
      <c r="C12" s="197"/>
      <c r="D12" s="197"/>
      <c r="E12" s="547" t="s">
        <v>735</v>
      </c>
      <c r="F12" s="548" t="s">
        <v>66</v>
      </c>
      <c r="G12" s="227">
        <v>94.1</v>
      </c>
      <c r="H12" s="227">
        <v>79.900000000000006</v>
      </c>
      <c r="I12" s="227">
        <v>22.6</v>
      </c>
      <c r="J12" s="227">
        <f t="shared" si="0"/>
        <v>14.199999999999989</v>
      </c>
      <c r="K12" s="227">
        <f t="shared" si="0"/>
        <v>57.300000000000004</v>
      </c>
      <c r="L12" s="228">
        <f t="shared" si="1"/>
        <v>0.24781849912739942</v>
      </c>
      <c r="M12" s="229"/>
    </row>
    <row r="13" spans="1:14">
      <c r="A13" s="201"/>
      <c r="B13" s="202"/>
      <c r="C13" s="202"/>
      <c r="D13" s="202"/>
      <c r="E13" s="550" t="s">
        <v>459</v>
      </c>
      <c r="F13" s="549" t="s">
        <v>67</v>
      </c>
      <c r="G13" s="260">
        <v>133</v>
      </c>
      <c r="H13" s="260">
        <v>110.2</v>
      </c>
      <c r="I13" s="260">
        <v>21.1</v>
      </c>
      <c r="J13" s="260">
        <f t="shared" si="0"/>
        <v>22.799999999999997</v>
      </c>
      <c r="K13" s="260">
        <f t="shared" si="0"/>
        <v>89.1</v>
      </c>
      <c r="L13" s="261">
        <f t="shared" si="1"/>
        <v>0.25589225589225589</v>
      </c>
      <c r="M13" s="262"/>
    </row>
    <row r="14" spans="1:14">
      <c r="A14" s="191">
        <v>42348</v>
      </c>
      <c r="B14" s="192">
        <v>1</v>
      </c>
      <c r="C14" s="192">
        <v>1</v>
      </c>
      <c r="D14" s="192">
        <v>2</v>
      </c>
      <c r="E14" s="546" t="s">
        <v>492</v>
      </c>
      <c r="F14" s="194" t="s">
        <v>59</v>
      </c>
      <c r="G14" s="192">
        <v>90.4</v>
      </c>
      <c r="H14" s="192">
        <v>80.8</v>
      </c>
      <c r="I14" s="192">
        <v>25.8</v>
      </c>
      <c r="J14" s="192">
        <f t="shared" ref="J14:J23" si="2">G14-H14</f>
        <v>9.6000000000000085</v>
      </c>
      <c r="K14" s="192">
        <f>H14-I14</f>
        <v>55</v>
      </c>
      <c r="L14" s="236">
        <f>J14/K14</f>
        <v>0.1745454545454547</v>
      </c>
      <c r="M14" s="224"/>
    </row>
    <row r="15" spans="1:14">
      <c r="A15" s="196"/>
      <c r="B15" s="197"/>
      <c r="C15" s="197">
        <v>2</v>
      </c>
      <c r="D15" s="197"/>
      <c r="E15" s="547" t="s">
        <v>736</v>
      </c>
      <c r="F15" s="199" t="s">
        <v>262</v>
      </c>
      <c r="G15" s="197">
        <v>92.6</v>
      </c>
      <c r="H15" s="197">
        <v>81.900000000000006</v>
      </c>
      <c r="I15" s="197">
        <v>22.2</v>
      </c>
      <c r="J15" s="197">
        <f t="shared" si="2"/>
        <v>10.699999999999989</v>
      </c>
      <c r="K15" s="197">
        <f t="shared" ref="K15:K23" si="3">H15-I15</f>
        <v>59.7</v>
      </c>
      <c r="L15" s="200">
        <f t="shared" ref="L15:L18" si="4">J15/K15</f>
        <v>0.17922948073701822</v>
      </c>
      <c r="M15" s="225"/>
    </row>
    <row r="16" spans="1:14">
      <c r="A16" s="196"/>
      <c r="B16" s="197"/>
      <c r="C16" s="197"/>
      <c r="D16" s="197"/>
      <c r="E16" s="547" t="s">
        <v>737</v>
      </c>
      <c r="F16" s="226" t="s">
        <v>60</v>
      </c>
      <c r="G16" s="227">
        <v>93.6</v>
      </c>
      <c r="H16" s="227">
        <v>83.2</v>
      </c>
      <c r="I16" s="227">
        <v>21.9</v>
      </c>
      <c r="J16" s="227">
        <f t="shared" si="2"/>
        <v>10.399999999999991</v>
      </c>
      <c r="K16" s="227">
        <f t="shared" si="3"/>
        <v>61.300000000000004</v>
      </c>
      <c r="L16" s="228">
        <f t="shared" si="4"/>
        <v>0.16965742251223476</v>
      </c>
      <c r="M16" s="229"/>
    </row>
    <row r="17" spans="1:14">
      <c r="A17" s="196"/>
      <c r="B17" s="197"/>
      <c r="C17" s="197"/>
      <c r="D17" s="197"/>
      <c r="E17" s="548" t="s">
        <v>738</v>
      </c>
      <c r="F17" s="226" t="s">
        <v>61</v>
      </c>
      <c r="G17" s="227">
        <v>97.4</v>
      </c>
      <c r="H17" s="232">
        <v>86.9</v>
      </c>
      <c r="I17" s="232">
        <v>27.6</v>
      </c>
      <c r="J17" s="232">
        <f t="shared" si="2"/>
        <v>10.5</v>
      </c>
      <c r="K17" s="232">
        <f t="shared" si="3"/>
        <v>59.300000000000004</v>
      </c>
      <c r="L17" s="233">
        <f t="shared" si="4"/>
        <v>0.17706576728499154</v>
      </c>
      <c r="M17" s="229"/>
    </row>
    <row r="18" spans="1:14" s="198" customFormat="1">
      <c r="B18" s="197"/>
      <c r="C18" s="197"/>
      <c r="D18" s="197"/>
      <c r="E18" s="547" t="s">
        <v>471</v>
      </c>
      <c r="F18" s="227" t="s">
        <v>62</v>
      </c>
      <c r="G18" s="227">
        <v>101.4</v>
      </c>
      <c r="H18" s="227">
        <v>89.9</v>
      </c>
      <c r="I18" s="227">
        <v>24.2</v>
      </c>
      <c r="J18" s="227">
        <f t="shared" si="2"/>
        <v>11.5</v>
      </c>
      <c r="K18" s="227">
        <f t="shared" si="3"/>
        <v>65.7</v>
      </c>
      <c r="L18" s="228">
        <f t="shared" si="4"/>
        <v>0.17503805175038051</v>
      </c>
      <c r="M18" s="228"/>
      <c r="N18" s="168"/>
    </row>
    <row r="19" spans="1:14" s="198" customFormat="1">
      <c r="B19" s="197"/>
      <c r="C19" s="197"/>
      <c r="D19" s="197"/>
      <c r="E19" s="547" t="s">
        <v>463</v>
      </c>
      <c r="F19" s="547" t="s">
        <v>63</v>
      </c>
      <c r="G19" s="227">
        <v>110.4</v>
      </c>
      <c r="H19" s="227">
        <v>94.7</v>
      </c>
      <c r="I19" s="227">
        <v>24.9</v>
      </c>
      <c r="J19" s="227">
        <f t="shared" si="2"/>
        <v>15.700000000000003</v>
      </c>
      <c r="K19" s="227">
        <f t="shared" si="3"/>
        <v>69.800000000000011</v>
      </c>
      <c r="L19" s="228">
        <f>J19/K19</f>
        <v>0.22492836676217765</v>
      </c>
      <c r="M19" s="228"/>
      <c r="N19" s="168"/>
    </row>
    <row r="20" spans="1:14">
      <c r="A20" s="196"/>
      <c r="B20" s="197"/>
      <c r="C20" s="197"/>
      <c r="D20" s="197"/>
      <c r="E20" s="547" t="s">
        <v>474</v>
      </c>
      <c r="F20" s="547" t="s">
        <v>64</v>
      </c>
      <c r="G20" s="227">
        <v>117.6</v>
      </c>
      <c r="H20" s="227">
        <v>96.8</v>
      </c>
      <c r="I20" s="227">
        <v>22.4</v>
      </c>
      <c r="J20" s="227">
        <f t="shared" si="2"/>
        <v>20.799999999999997</v>
      </c>
      <c r="K20" s="227">
        <f t="shared" si="3"/>
        <v>74.400000000000006</v>
      </c>
      <c r="L20" s="228">
        <f t="shared" ref="L20:L23" si="5">J20/K20</f>
        <v>0.2795698924731182</v>
      </c>
      <c r="M20" s="229"/>
    </row>
    <row r="21" spans="1:14">
      <c r="A21" s="196"/>
      <c r="B21" s="197"/>
      <c r="C21" s="197"/>
      <c r="D21" s="197"/>
      <c r="E21" s="548" t="s">
        <v>739</v>
      </c>
      <c r="F21" s="548" t="s">
        <v>65</v>
      </c>
      <c r="G21" s="227">
        <v>97.3</v>
      </c>
      <c r="H21" s="227">
        <v>84.7</v>
      </c>
      <c r="I21" s="227">
        <v>23</v>
      </c>
      <c r="J21" s="227">
        <f t="shared" si="2"/>
        <v>12.599999999999994</v>
      </c>
      <c r="K21" s="227">
        <f t="shared" si="3"/>
        <v>61.7</v>
      </c>
      <c r="L21" s="228">
        <f t="shared" si="5"/>
        <v>0.20421393841166927</v>
      </c>
      <c r="M21" s="229"/>
    </row>
    <row r="22" spans="1:14">
      <c r="A22" s="196"/>
      <c r="B22" s="197"/>
      <c r="C22" s="197"/>
      <c r="D22" s="197"/>
      <c r="E22" s="547" t="s">
        <v>740</v>
      </c>
      <c r="F22" s="548" t="s">
        <v>66</v>
      </c>
      <c r="G22" s="227">
        <v>97.9</v>
      </c>
      <c r="H22" s="227">
        <v>85</v>
      </c>
      <c r="I22" s="227">
        <v>23.5</v>
      </c>
      <c r="J22" s="227">
        <f t="shared" si="2"/>
        <v>12.900000000000006</v>
      </c>
      <c r="K22" s="227">
        <f t="shared" si="3"/>
        <v>61.5</v>
      </c>
      <c r="L22" s="228">
        <f t="shared" si="5"/>
        <v>0.20975609756097571</v>
      </c>
      <c r="M22" s="229"/>
    </row>
    <row r="23" spans="1:14">
      <c r="A23" s="201"/>
      <c r="B23" s="202"/>
      <c r="C23" s="202"/>
      <c r="D23" s="202"/>
      <c r="E23" s="550" t="s">
        <v>741</v>
      </c>
      <c r="F23" s="549" t="s">
        <v>67</v>
      </c>
      <c r="G23" s="260">
        <v>108.6</v>
      </c>
      <c r="H23" s="260">
        <v>90.6</v>
      </c>
      <c r="I23" s="260">
        <v>24</v>
      </c>
      <c r="J23" s="260">
        <f t="shared" si="2"/>
        <v>18</v>
      </c>
      <c r="K23" s="260">
        <f t="shared" si="3"/>
        <v>66.599999999999994</v>
      </c>
      <c r="L23" s="261">
        <f t="shared" si="5"/>
        <v>0.27027027027027029</v>
      </c>
      <c r="M23" s="262"/>
    </row>
    <row r="24" spans="1:14">
      <c r="A24" s="191">
        <v>42348</v>
      </c>
      <c r="B24" s="192">
        <v>1</v>
      </c>
      <c r="C24" s="192">
        <v>1</v>
      </c>
      <c r="D24" s="192">
        <v>3</v>
      </c>
      <c r="E24" s="546" t="s">
        <v>742</v>
      </c>
      <c r="F24" s="194" t="s">
        <v>59</v>
      </c>
      <c r="G24" s="192">
        <v>87</v>
      </c>
      <c r="H24" s="192">
        <v>78.099999999999994</v>
      </c>
      <c r="I24" s="192">
        <v>22.3</v>
      </c>
      <c r="J24" s="192">
        <f t="shared" ref="J24:J53" si="6">G24-H24</f>
        <v>8.9000000000000057</v>
      </c>
      <c r="K24" s="192">
        <f>H24-I24</f>
        <v>55.8</v>
      </c>
      <c r="L24" s="236">
        <f>J24/K24</f>
        <v>0.15949820788530478</v>
      </c>
      <c r="M24" s="224"/>
    </row>
    <row r="25" spans="1:14">
      <c r="A25" s="196"/>
      <c r="B25" s="197"/>
      <c r="C25" s="197">
        <v>2</v>
      </c>
      <c r="D25" s="197"/>
      <c r="E25" s="547" t="s">
        <v>686</v>
      </c>
      <c r="F25" s="199" t="s">
        <v>262</v>
      </c>
      <c r="G25" s="197">
        <v>95.9</v>
      </c>
      <c r="H25" s="197">
        <v>86.3</v>
      </c>
      <c r="I25" s="197">
        <v>26.8</v>
      </c>
      <c r="J25" s="197">
        <f t="shared" si="6"/>
        <v>9.6000000000000085</v>
      </c>
      <c r="K25" s="197">
        <f t="shared" ref="K25:K33" si="7">H25-I25</f>
        <v>59.5</v>
      </c>
      <c r="L25" s="200">
        <f t="shared" ref="L25:L28" si="8">J25/K25</f>
        <v>0.1613445378151262</v>
      </c>
      <c r="M25" s="225"/>
    </row>
    <row r="26" spans="1:14">
      <c r="A26" s="196"/>
      <c r="B26" s="197"/>
      <c r="C26" s="197"/>
      <c r="D26" s="197"/>
      <c r="E26" s="547" t="s">
        <v>743</v>
      </c>
      <c r="F26" s="226" t="s">
        <v>60</v>
      </c>
      <c r="G26" s="227">
        <v>94.2</v>
      </c>
      <c r="H26" s="227">
        <v>85.1</v>
      </c>
      <c r="I26" s="227">
        <v>27.3</v>
      </c>
      <c r="J26" s="227">
        <f t="shared" si="6"/>
        <v>9.1000000000000085</v>
      </c>
      <c r="K26" s="227">
        <f t="shared" si="7"/>
        <v>57.8</v>
      </c>
      <c r="L26" s="228">
        <f t="shared" si="8"/>
        <v>0.15743944636678217</v>
      </c>
      <c r="M26" s="229"/>
    </row>
    <row r="27" spans="1:14">
      <c r="A27" s="196"/>
      <c r="B27" s="197"/>
      <c r="C27" s="197"/>
      <c r="D27" s="197"/>
      <c r="E27" s="548" t="s">
        <v>744</v>
      </c>
      <c r="F27" s="226" t="s">
        <v>61</v>
      </c>
      <c r="G27" s="227">
        <v>104.9</v>
      </c>
      <c r="H27" s="232">
        <v>93.8</v>
      </c>
      <c r="I27" s="232">
        <v>22.8</v>
      </c>
      <c r="J27" s="232">
        <f t="shared" si="6"/>
        <v>11.100000000000009</v>
      </c>
      <c r="K27" s="232">
        <f t="shared" si="7"/>
        <v>71</v>
      </c>
      <c r="L27" s="233">
        <f t="shared" si="8"/>
        <v>0.15633802816901421</v>
      </c>
      <c r="M27" s="229"/>
    </row>
    <row r="28" spans="1:14" s="198" customFormat="1">
      <c r="B28" s="197"/>
      <c r="C28" s="197"/>
      <c r="D28" s="197"/>
      <c r="E28" s="547" t="s">
        <v>745</v>
      </c>
      <c r="F28" s="227" t="s">
        <v>62</v>
      </c>
      <c r="G28" s="227">
        <v>114.1</v>
      </c>
      <c r="H28" s="227">
        <v>100.5</v>
      </c>
      <c r="I28" s="227">
        <v>25.6</v>
      </c>
      <c r="J28" s="227">
        <f t="shared" si="6"/>
        <v>13.599999999999994</v>
      </c>
      <c r="K28" s="227">
        <f t="shared" si="7"/>
        <v>74.900000000000006</v>
      </c>
      <c r="L28" s="228">
        <f t="shared" si="8"/>
        <v>0.18157543391188241</v>
      </c>
      <c r="M28" s="228"/>
      <c r="N28" s="168"/>
    </row>
    <row r="29" spans="1:14" s="198" customFormat="1">
      <c r="B29" s="197"/>
      <c r="C29" s="197"/>
      <c r="D29" s="197"/>
      <c r="E29" s="547" t="s">
        <v>746</v>
      </c>
      <c r="F29" s="547" t="s">
        <v>63</v>
      </c>
      <c r="G29" s="227">
        <v>94.3</v>
      </c>
      <c r="H29" s="227">
        <v>82.5</v>
      </c>
      <c r="I29" s="227">
        <v>22.5</v>
      </c>
      <c r="J29" s="227">
        <f t="shared" si="6"/>
        <v>11.799999999999997</v>
      </c>
      <c r="K29" s="227">
        <f t="shared" si="7"/>
        <v>60</v>
      </c>
      <c r="L29" s="228">
        <f>J29/K29</f>
        <v>0.19666666666666663</v>
      </c>
      <c r="M29" s="228"/>
      <c r="N29" s="168"/>
    </row>
    <row r="30" spans="1:14">
      <c r="A30" s="196"/>
      <c r="B30" s="197"/>
      <c r="C30" s="197"/>
      <c r="D30" s="197"/>
      <c r="E30" s="547" t="s">
        <v>747</v>
      </c>
      <c r="F30" s="547" t="s">
        <v>64</v>
      </c>
      <c r="G30" s="227">
        <v>84.6</v>
      </c>
      <c r="H30" s="227">
        <v>74.2</v>
      </c>
      <c r="I30" s="227">
        <v>23.6</v>
      </c>
      <c r="J30" s="227">
        <f t="shared" si="6"/>
        <v>10.399999999999991</v>
      </c>
      <c r="K30" s="227">
        <f t="shared" si="7"/>
        <v>50.6</v>
      </c>
      <c r="L30" s="228">
        <f t="shared" ref="L30:L33" si="9">J30/K30</f>
        <v>0.20553359683794448</v>
      </c>
      <c r="M30" s="229"/>
    </row>
    <row r="31" spans="1:14">
      <c r="A31" s="196"/>
      <c r="B31" s="197"/>
      <c r="C31" s="197"/>
      <c r="D31" s="197"/>
      <c r="E31" s="548" t="s">
        <v>748</v>
      </c>
      <c r="F31" s="548" t="s">
        <v>65</v>
      </c>
      <c r="G31" s="227">
        <v>105.6</v>
      </c>
      <c r="H31" s="227">
        <v>91.2</v>
      </c>
      <c r="I31" s="227">
        <v>25.1</v>
      </c>
      <c r="J31" s="227">
        <f t="shared" si="6"/>
        <v>14.399999999999991</v>
      </c>
      <c r="K31" s="227">
        <f t="shared" si="7"/>
        <v>66.099999999999994</v>
      </c>
      <c r="L31" s="228">
        <f t="shared" si="9"/>
        <v>0.21785173978819958</v>
      </c>
      <c r="M31" s="229"/>
    </row>
    <row r="32" spans="1:14">
      <c r="A32" s="196"/>
      <c r="B32" s="197"/>
      <c r="C32" s="197"/>
      <c r="D32" s="197"/>
      <c r="E32" s="547" t="s">
        <v>749</v>
      </c>
      <c r="F32" s="548" t="s">
        <v>66</v>
      </c>
      <c r="G32" s="227">
        <v>106.9</v>
      </c>
      <c r="H32" s="227">
        <v>89</v>
      </c>
      <c r="I32" s="227">
        <v>21.4</v>
      </c>
      <c r="J32" s="227">
        <f t="shared" si="6"/>
        <v>17.900000000000006</v>
      </c>
      <c r="K32" s="227">
        <f t="shared" si="7"/>
        <v>67.599999999999994</v>
      </c>
      <c r="L32" s="228">
        <f t="shared" si="9"/>
        <v>0.26479289940828415</v>
      </c>
      <c r="M32" s="229"/>
    </row>
    <row r="33" spans="1:14">
      <c r="A33" s="201"/>
      <c r="B33" s="202"/>
      <c r="C33" s="202"/>
      <c r="D33" s="202"/>
      <c r="E33" s="550" t="s">
        <v>681</v>
      </c>
      <c r="F33" s="549" t="s">
        <v>67</v>
      </c>
      <c r="G33" s="260">
        <v>101.4</v>
      </c>
      <c r="H33" s="260">
        <v>83.1</v>
      </c>
      <c r="I33" s="260">
        <v>22.6</v>
      </c>
      <c r="J33" s="260">
        <f t="shared" si="6"/>
        <v>18.300000000000011</v>
      </c>
      <c r="K33" s="260">
        <f t="shared" si="7"/>
        <v>60.499999999999993</v>
      </c>
      <c r="L33" s="261">
        <f t="shared" si="9"/>
        <v>0.30247933884297545</v>
      </c>
      <c r="M33" s="262"/>
    </row>
    <row r="34" spans="1:14">
      <c r="A34" s="191">
        <v>42348</v>
      </c>
      <c r="B34" s="192">
        <v>2</v>
      </c>
      <c r="C34" s="192">
        <v>1</v>
      </c>
      <c r="D34" s="192">
        <v>4</v>
      </c>
      <c r="E34" s="546" t="s">
        <v>479</v>
      </c>
      <c r="F34" s="194" t="s">
        <v>59</v>
      </c>
      <c r="G34" s="192">
        <v>99.6</v>
      </c>
      <c r="H34" s="192">
        <v>87.4</v>
      </c>
      <c r="I34" s="192">
        <v>22.4</v>
      </c>
      <c r="J34" s="192">
        <f t="shared" si="6"/>
        <v>12.199999999999989</v>
      </c>
      <c r="K34" s="192">
        <f>H34-I34</f>
        <v>65</v>
      </c>
      <c r="L34" s="236">
        <f>J34/K34</f>
        <v>0.18769230769230752</v>
      </c>
      <c r="M34" s="224"/>
    </row>
    <row r="35" spans="1:14">
      <c r="A35" s="196"/>
      <c r="B35" s="197"/>
      <c r="C35" s="197">
        <v>2</v>
      </c>
      <c r="D35" s="197"/>
      <c r="E35" s="547" t="s">
        <v>700</v>
      </c>
      <c r="F35" s="199" t="s">
        <v>262</v>
      </c>
      <c r="G35" s="197">
        <v>90</v>
      </c>
      <c r="H35" s="197">
        <v>80.3</v>
      </c>
      <c r="I35" s="197">
        <v>23.2</v>
      </c>
      <c r="J35" s="197">
        <f t="shared" si="6"/>
        <v>9.7000000000000028</v>
      </c>
      <c r="K35" s="197">
        <f t="shared" ref="K35:K43" si="10">H35-I35</f>
        <v>57.099999999999994</v>
      </c>
      <c r="L35" s="200">
        <f t="shared" ref="L35:L38" si="11">J35/K35</f>
        <v>0.1698774080560421</v>
      </c>
      <c r="M35" s="225"/>
    </row>
    <row r="36" spans="1:14">
      <c r="A36" s="196"/>
      <c r="B36" s="197"/>
      <c r="C36" s="197"/>
      <c r="D36" s="197"/>
      <c r="E36" s="547" t="s">
        <v>680</v>
      </c>
      <c r="F36" s="226" t="s">
        <v>60</v>
      </c>
      <c r="G36" s="227">
        <v>82.8</v>
      </c>
      <c r="H36" s="227">
        <v>74.400000000000006</v>
      </c>
      <c r="I36" s="227">
        <v>24.3</v>
      </c>
      <c r="J36" s="227">
        <f t="shared" si="6"/>
        <v>8.3999999999999915</v>
      </c>
      <c r="K36" s="227">
        <f t="shared" si="10"/>
        <v>50.100000000000009</v>
      </c>
      <c r="L36" s="228">
        <f t="shared" si="11"/>
        <v>0.16766467065868243</v>
      </c>
      <c r="M36" s="229"/>
    </row>
    <row r="37" spans="1:14">
      <c r="A37" s="196"/>
      <c r="B37" s="197"/>
      <c r="C37" s="197"/>
      <c r="D37" s="197"/>
      <c r="E37" s="548" t="s">
        <v>655</v>
      </c>
      <c r="F37" s="226" t="s">
        <v>61</v>
      </c>
      <c r="G37" s="227">
        <v>98.5</v>
      </c>
      <c r="H37" s="232">
        <v>88.3</v>
      </c>
      <c r="I37" s="232">
        <v>25.8</v>
      </c>
      <c r="J37" s="232">
        <f t="shared" si="6"/>
        <v>10.200000000000003</v>
      </c>
      <c r="K37" s="232">
        <f t="shared" si="10"/>
        <v>62.5</v>
      </c>
      <c r="L37" s="233">
        <f t="shared" si="11"/>
        <v>0.16320000000000004</v>
      </c>
      <c r="M37" s="229"/>
    </row>
    <row r="38" spans="1:14" s="198" customFormat="1">
      <c r="B38" s="197"/>
      <c r="C38" s="197"/>
      <c r="D38" s="197"/>
      <c r="E38" s="547" t="s">
        <v>691</v>
      </c>
      <c r="F38" s="227" t="s">
        <v>62</v>
      </c>
      <c r="G38" s="227">
        <v>107.6</v>
      </c>
      <c r="H38" s="227">
        <v>95.5</v>
      </c>
      <c r="I38" s="227">
        <v>22.5</v>
      </c>
      <c r="J38" s="227">
        <f t="shared" si="6"/>
        <v>12.099999999999994</v>
      </c>
      <c r="K38" s="227">
        <f t="shared" si="10"/>
        <v>73</v>
      </c>
      <c r="L38" s="228">
        <f t="shared" si="11"/>
        <v>0.16575342465753418</v>
      </c>
      <c r="M38" s="228"/>
      <c r="N38" s="168"/>
    </row>
    <row r="39" spans="1:14" s="198" customFormat="1">
      <c r="B39" s="197"/>
      <c r="C39" s="197"/>
      <c r="D39" s="197"/>
      <c r="E39" s="547" t="s">
        <v>446</v>
      </c>
      <c r="F39" s="547" t="s">
        <v>63</v>
      </c>
      <c r="G39" s="227">
        <v>104.2</v>
      </c>
      <c r="H39" s="227">
        <v>89.2</v>
      </c>
      <c r="I39" s="227">
        <v>22.5</v>
      </c>
      <c r="J39" s="227">
        <f t="shared" si="6"/>
        <v>15</v>
      </c>
      <c r="K39" s="227">
        <f t="shared" si="10"/>
        <v>66.7</v>
      </c>
      <c r="L39" s="228">
        <f>J39/K39</f>
        <v>0.22488755622188905</v>
      </c>
      <c r="M39" s="228"/>
      <c r="N39" s="168"/>
    </row>
    <row r="40" spans="1:14">
      <c r="A40" s="196"/>
      <c r="B40" s="197"/>
      <c r="C40" s="197"/>
      <c r="D40" s="197"/>
      <c r="E40" s="547" t="s">
        <v>679</v>
      </c>
      <c r="F40" s="547" t="s">
        <v>64</v>
      </c>
      <c r="G40" s="227">
        <v>103.7</v>
      </c>
      <c r="H40" s="227">
        <v>87.2</v>
      </c>
      <c r="I40" s="227">
        <v>23.7</v>
      </c>
      <c r="J40" s="227">
        <f t="shared" si="6"/>
        <v>16.5</v>
      </c>
      <c r="K40" s="227">
        <f t="shared" si="10"/>
        <v>63.5</v>
      </c>
      <c r="L40" s="228">
        <f t="shared" ref="L40:L43" si="12">J40/K40</f>
        <v>0.25984251968503935</v>
      </c>
      <c r="M40" s="229"/>
    </row>
    <row r="41" spans="1:14">
      <c r="A41" s="196"/>
      <c r="B41" s="197"/>
      <c r="C41" s="197"/>
      <c r="D41" s="197"/>
      <c r="E41" s="548" t="s">
        <v>433</v>
      </c>
      <c r="F41" s="548" t="s">
        <v>65</v>
      </c>
      <c r="G41" s="227">
        <v>92.2</v>
      </c>
      <c r="H41" s="227">
        <v>81.099999999999994</v>
      </c>
      <c r="I41" s="227">
        <v>22.4</v>
      </c>
      <c r="J41" s="227">
        <f t="shared" si="6"/>
        <v>11.100000000000009</v>
      </c>
      <c r="K41" s="227">
        <f t="shared" si="10"/>
        <v>58.699999999999996</v>
      </c>
      <c r="L41" s="228">
        <f t="shared" si="12"/>
        <v>0.18909710391822843</v>
      </c>
      <c r="M41" s="229"/>
    </row>
    <row r="42" spans="1:14">
      <c r="A42" s="196"/>
      <c r="B42" s="197"/>
      <c r="C42" s="197"/>
      <c r="D42" s="197"/>
      <c r="E42" s="547" t="s">
        <v>483</v>
      </c>
      <c r="F42" s="548" t="s">
        <v>66</v>
      </c>
      <c r="G42" s="227">
        <v>79.5</v>
      </c>
      <c r="H42" s="227">
        <v>71</v>
      </c>
      <c r="I42" s="227">
        <v>21.7</v>
      </c>
      <c r="J42" s="227">
        <f t="shared" si="6"/>
        <v>8.5</v>
      </c>
      <c r="K42" s="227">
        <f t="shared" si="10"/>
        <v>49.3</v>
      </c>
      <c r="L42" s="228">
        <f t="shared" si="12"/>
        <v>0.17241379310344829</v>
      </c>
      <c r="M42" s="229"/>
    </row>
    <row r="43" spans="1:14">
      <c r="A43" s="201"/>
      <c r="B43" s="202"/>
      <c r="C43" s="202"/>
      <c r="D43" s="202"/>
      <c r="E43" s="550" t="s">
        <v>513</v>
      </c>
      <c r="F43" s="549" t="s">
        <v>67</v>
      </c>
      <c r="G43" s="260">
        <v>99.4</v>
      </c>
      <c r="H43" s="260">
        <v>83.8</v>
      </c>
      <c r="I43" s="260">
        <v>21.9</v>
      </c>
      <c r="J43" s="260">
        <f t="shared" si="6"/>
        <v>15.600000000000009</v>
      </c>
      <c r="K43" s="260">
        <f t="shared" si="10"/>
        <v>61.9</v>
      </c>
      <c r="L43" s="261">
        <f t="shared" si="12"/>
        <v>0.25201938610662372</v>
      </c>
      <c r="M43" s="262"/>
    </row>
    <row r="44" spans="1:14">
      <c r="A44" s="191">
        <v>42348</v>
      </c>
      <c r="B44" s="192">
        <v>2</v>
      </c>
      <c r="C44" s="192">
        <v>1</v>
      </c>
      <c r="D44" s="192">
        <v>5</v>
      </c>
      <c r="E44" s="546" t="s">
        <v>493</v>
      </c>
      <c r="F44" s="194" t="s">
        <v>59</v>
      </c>
      <c r="G44" s="192">
        <v>96.6</v>
      </c>
      <c r="H44" s="192">
        <v>86.4</v>
      </c>
      <c r="I44" s="192">
        <v>23.2</v>
      </c>
      <c r="J44" s="192">
        <f t="shared" si="6"/>
        <v>10.199999999999989</v>
      </c>
      <c r="K44" s="192">
        <f>H44-I44</f>
        <v>63.2</v>
      </c>
      <c r="L44" s="236">
        <f>J44/K44</f>
        <v>0.16139240506329094</v>
      </c>
      <c r="M44" s="224"/>
    </row>
    <row r="45" spans="1:14">
      <c r="A45" s="196"/>
      <c r="B45" s="197"/>
      <c r="C45" s="197">
        <v>2</v>
      </c>
      <c r="D45" s="197"/>
      <c r="E45" s="547" t="s">
        <v>750</v>
      </c>
      <c r="F45" s="199" t="s">
        <v>262</v>
      </c>
      <c r="G45" s="197">
        <v>88</v>
      </c>
      <c r="H45" s="197">
        <v>78.900000000000006</v>
      </c>
      <c r="I45" s="197">
        <v>22.5</v>
      </c>
      <c r="J45" s="197">
        <f t="shared" si="6"/>
        <v>9.0999999999999943</v>
      </c>
      <c r="K45" s="197">
        <f t="shared" ref="K45:K53" si="13">H45-I45</f>
        <v>56.400000000000006</v>
      </c>
      <c r="L45" s="200">
        <f t="shared" ref="L45:L48" si="14">J45/K45</f>
        <v>0.16134751773049633</v>
      </c>
      <c r="M45" s="225"/>
    </row>
    <row r="46" spans="1:14">
      <c r="A46" s="196"/>
      <c r="B46" s="197"/>
      <c r="C46" s="197"/>
      <c r="D46" s="197"/>
      <c r="E46" s="547" t="s">
        <v>434</v>
      </c>
      <c r="F46" s="226" t="s">
        <v>60</v>
      </c>
      <c r="G46" s="227">
        <v>93.8</v>
      </c>
      <c r="H46" s="227">
        <v>84.1</v>
      </c>
      <c r="I46" s="227">
        <v>25.1</v>
      </c>
      <c r="J46" s="227">
        <f t="shared" si="6"/>
        <v>9.7000000000000028</v>
      </c>
      <c r="K46" s="227">
        <f t="shared" si="13"/>
        <v>58.999999999999993</v>
      </c>
      <c r="L46" s="228">
        <f t="shared" si="14"/>
        <v>0.16440677966101702</v>
      </c>
      <c r="M46" s="229"/>
    </row>
    <row r="47" spans="1:14">
      <c r="A47" s="196"/>
      <c r="B47" s="197"/>
      <c r="C47" s="197"/>
      <c r="D47" s="197"/>
      <c r="E47" s="548" t="s">
        <v>451</v>
      </c>
      <c r="F47" s="226" t="s">
        <v>61</v>
      </c>
      <c r="G47" s="227">
        <v>98.3</v>
      </c>
      <c r="H47" s="232">
        <v>87.7</v>
      </c>
      <c r="I47" s="232">
        <v>24.6</v>
      </c>
      <c r="J47" s="232">
        <f t="shared" si="6"/>
        <v>10.599999999999994</v>
      </c>
      <c r="K47" s="232">
        <f t="shared" si="13"/>
        <v>63.1</v>
      </c>
      <c r="L47" s="233">
        <f t="shared" si="14"/>
        <v>0.16798732171156885</v>
      </c>
      <c r="M47" s="229"/>
    </row>
    <row r="48" spans="1:14" s="198" customFormat="1">
      <c r="B48" s="197"/>
      <c r="C48" s="197"/>
      <c r="D48" s="197"/>
      <c r="E48" s="547" t="s">
        <v>522</v>
      </c>
      <c r="F48" s="227" t="s">
        <v>62</v>
      </c>
      <c r="G48" s="227">
        <v>97.8</v>
      </c>
      <c r="H48" s="227">
        <v>84.3</v>
      </c>
      <c r="I48" s="227">
        <v>22.2</v>
      </c>
      <c r="J48" s="227">
        <f t="shared" si="6"/>
        <v>13.5</v>
      </c>
      <c r="K48" s="227">
        <f t="shared" si="13"/>
        <v>62.099999999999994</v>
      </c>
      <c r="L48" s="228">
        <f t="shared" si="14"/>
        <v>0.21739130434782611</v>
      </c>
      <c r="M48" s="228"/>
      <c r="N48" s="168"/>
    </row>
    <row r="49" spans="1:14" s="198" customFormat="1">
      <c r="B49" s="197"/>
      <c r="C49" s="197"/>
      <c r="D49" s="197"/>
      <c r="E49" s="547" t="s">
        <v>678</v>
      </c>
      <c r="F49" s="547" t="s">
        <v>63</v>
      </c>
      <c r="G49" s="227">
        <v>97.1</v>
      </c>
      <c r="H49" s="227">
        <v>82.9</v>
      </c>
      <c r="I49" s="227">
        <v>26.1</v>
      </c>
      <c r="J49" s="227">
        <f t="shared" si="6"/>
        <v>14.199999999999989</v>
      </c>
      <c r="K49" s="227">
        <f t="shared" si="13"/>
        <v>56.800000000000004</v>
      </c>
      <c r="L49" s="228">
        <f>J49/K49</f>
        <v>0.24999999999999978</v>
      </c>
      <c r="M49" s="228"/>
      <c r="N49" s="168"/>
    </row>
    <row r="50" spans="1:14">
      <c r="A50" s="196"/>
      <c r="B50" s="197"/>
      <c r="C50" s="197"/>
      <c r="D50" s="197"/>
      <c r="E50" s="547" t="s">
        <v>751</v>
      </c>
      <c r="F50" s="547" t="s">
        <v>64</v>
      </c>
      <c r="G50" s="227">
        <v>99.7</v>
      </c>
      <c r="H50" s="227">
        <v>83.2</v>
      </c>
      <c r="I50" s="227">
        <v>22.4</v>
      </c>
      <c r="J50" s="227">
        <f t="shared" si="6"/>
        <v>16.5</v>
      </c>
      <c r="K50" s="227">
        <f t="shared" si="13"/>
        <v>60.800000000000004</v>
      </c>
      <c r="L50" s="228">
        <f t="shared" ref="L50:L53" si="15">J50/K50</f>
        <v>0.27138157894736842</v>
      </c>
      <c r="M50" s="229"/>
    </row>
    <row r="51" spans="1:14">
      <c r="A51" s="196"/>
      <c r="B51" s="197"/>
      <c r="C51" s="197"/>
      <c r="D51" s="197"/>
      <c r="E51" s="548" t="s">
        <v>423</v>
      </c>
      <c r="F51" s="548" t="s">
        <v>65</v>
      </c>
      <c r="G51" s="227">
        <v>94</v>
      </c>
      <c r="H51" s="227">
        <v>79.900000000000006</v>
      </c>
      <c r="I51" s="227">
        <v>23</v>
      </c>
      <c r="J51" s="227">
        <f t="shared" si="6"/>
        <v>14.099999999999994</v>
      </c>
      <c r="K51" s="227">
        <f t="shared" si="13"/>
        <v>56.900000000000006</v>
      </c>
      <c r="L51" s="228">
        <f t="shared" si="15"/>
        <v>0.2478031634446396</v>
      </c>
      <c r="M51" s="229"/>
    </row>
    <row r="52" spans="1:14">
      <c r="A52" s="196"/>
      <c r="B52" s="197"/>
      <c r="C52" s="197"/>
      <c r="D52" s="197"/>
      <c r="E52" s="547" t="s">
        <v>672</v>
      </c>
      <c r="F52" s="548" t="s">
        <v>66</v>
      </c>
      <c r="G52" s="227">
        <v>117.2</v>
      </c>
      <c r="H52" s="227">
        <v>98.8</v>
      </c>
      <c r="I52" s="227">
        <v>29.8</v>
      </c>
      <c r="J52" s="227">
        <f t="shared" si="6"/>
        <v>18.400000000000006</v>
      </c>
      <c r="K52" s="227">
        <f t="shared" si="13"/>
        <v>69</v>
      </c>
      <c r="L52" s="228">
        <f t="shared" si="15"/>
        <v>0.26666666666666677</v>
      </c>
      <c r="M52" s="229"/>
    </row>
    <row r="53" spans="1:14">
      <c r="A53" s="201"/>
      <c r="B53" s="202"/>
      <c r="C53" s="202"/>
      <c r="D53" s="202"/>
      <c r="E53" s="550" t="s">
        <v>752</v>
      </c>
      <c r="F53" s="549" t="s">
        <v>67</v>
      </c>
      <c r="G53" s="260">
        <v>100.7</v>
      </c>
      <c r="H53" s="260">
        <v>83.6</v>
      </c>
      <c r="I53" s="260">
        <v>23.6</v>
      </c>
      <c r="J53" s="260">
        <f t="shared" si="6"/>
        <v>17.100000000000009</v>
      </c>
      <c r="K53" s="260">
        <f t="shared" si="13"/>
        <v>59.999999999999993</v>
      </c>
      <c r="L53" s="261">
        <f t="shared" si="15"/>
        <v>0.2850000000000002</v>
      </c>
      <c r="M53" s="262"/>
    </row>
    <row r="54" spans="1:14">
      <c r="A54" s="191">
        <v>42348</v>
      </c>
      <c r="B54" s="192">
        <v>2</v>
      </c>
      <c r="C54" s="192">
        <v>1</v>
      </c>
      <c r="D54" s="192">
        <v>6</v>
      </c>
      <c r="E54" s="546" t="s">
        <v>753</v>
      </c>
      <c r="F54" s="194" t="s">
        <v>59</v>
      </c>
      <c r="G54" s="192">
        <v>91.3</v>
      </c>
      <c r="H54" s="192">
        <v>83.1</v>
      </c>
      <c r="I54" s="192">
        <v>26.8</v>
      </c>
      <c r="J54" s="192">
        <f t="shared" ref="J54:J83" si="16">G54-H54</f>
        <v>8.2000000000000028</v>
      </c>
      <c r="K54" s="192">
        <f>H54-I54</f>
        <v>56.3</v>
      </c>
      <c r="L54" s="236">
        <f>J54/K54</f>
        <v>0.14564831261101249</v>
      </c>
      <c r="M54" s="224"/>
    </row>
    <row r="55" spans="1:14">
      <c r="A55" s="196"/>
      <c r="B55" s="197"/>
      <c r="C55" s="197">
        <v>2</v>
      </c>
      <c r="D55" s="197"/>
      <c r="E55" s="547" t="s">
        <v>510</v>
      </c>
      <c r="F55" s="199" t="s">
        <v>262</v>
      </c>
      <c r="G55" s="197">
        <v>92.8</v>
      </c>
      <c r="H55" s="197">
        <v>82.7</v>
      </c>
      <c r="I55" s="197">
        <v>21.8</v>
      </c>
      <c r="J55" s="197">
        <f t="shared" si="16"/>
        <v>10.099999999999994</v>
      </c>
      <c r="K55" s="197">
        <f t="shared" ref="K55:K63" si="17">H55-I55</f>
        <v>60.900000000000006</v>
      </c>
      <c r="L55" s="200">
        <f t="shared" ref="L55:L58" si="18">J55/K55</f>
        <v>0.16584564860426917</v>
      </c>
      <c r="M55" s="225"/>
    </row>
    <row r="56" spans="1:14">
      <c r="A56" s="196"/>
      <c r="B56" s="197"/>
      <c r="C56" s="197"/>
      <c r="D56" s="197"/>
      <c r="E56" s="547" t="s">
        <v>754</v>
      </c>
      <c r="F56" s="226" t="s">
        <v>60</v>
      </c>
      <c r="G56" s="227">
        <v>103.3</v>
      </c>
      <c r="H56" s="227">
        <v>92.5</v>
      </c>
      <c r="I56" s="227">
        <v>26</v>
      </c>
      <c r="J56" s="227">
        <f t="shared" si="16"/>
        <v>10.799999999999997</v>
      </c>
      <c r="K56" s="227">
        <f t="shared" si="17"/>
        <v>66.5</v>
      </c>
      <c r="L56" s="228">
        <f t="shared" si="18"/>
        <v>0.16240601503759394</v>
      </c>
      <c r="M56" s="229"/>
    </row>
    <row r="57" spans="1:14">
      <c r="A57" s="196"/>
      <c r="B57" s="197"/>
      <c r="C57" s="197"/>
      <c r="D57" s="197"/>
      <c r="E57" s="548" t="s">
        <v>755</v>
      </c>
      <c r="F57" s="226" t="s">
        <v>61</v>
      </c>
      <c r="G57" s="227">
        <v>96.2</v>
      </c>
      <c r="H57" s="232">
        <v>85.8</v>
      </c>
      <c r="I57" s="232">
        <v>21.1</v>
      </c>
      <c r="J57" s="232">
        <f t="shared" si="16"/>
        <v>10.400000000000006</v>
      </c>
      <c r="K57" s="232">
        <f t="shared" si="17"/>
        <v>64.699999999999989</v>
      </c>
      <c r="L57" s="233">
        <f t="shared" si="18"/>
        <v>0.16074188562596611</v>
      </c>
      <c r="M57" s="229"/>
    </row>
    <row r="58" spans="1:14" s="198" customFormat="1">
      <c r="B58" s="197"/>
      <c r="C58" s="197"/>
      <c r="D58" s="197"/>
      <c r="E58" s="547" t="s">
        <v>414</v>
      </c>
      <c r="F58" s="227" t="s">
        <v>62</v>
      </c>
      <c r="G58" s="227">
        <v>108.9</v>
      </c>
      <c r="H58" s="227">
        <v>98.9</v>
      </c>
      <c r="I58" s="227">
        <v>31.3</v>
      </c>
      <c r="J58" s="227">
        <f t="shared" si="16"/>
        <v>10</v>
      </c>
      <c r="K58" s="227">
        <f t="shared" si="17"/>
        <v>67.600000000000009</v>
      </c>
      <c r="L58" s="228">
        <f t="shared" si="18"/>
        <v>0.14792899408284022</v>
      </c>
      <c r="M58" s="228"/>
      <c r="N58" s="168"/>
    </row>
    <row r="59" spans="1:14" s="198" customFormat="1">
      <c r="B59" s="197"/>
      <c r="C59" s="197"/>
      <c r="D59" s="197"/>
      <c r="E59" s="547" t="s">
        <v>684</v>
      </c>
      <c r="F59" s="547" t="s">
        <v>63</v>
      </c>
      <c r="G59" s="227">
        <v>98.8</v>
      </c>
      <c r="H59" s="227">
        <v>87.6</v>
      </c>
      <c r="I59" s="227">
        <v>25.3</v>
      </c>
      <c r="J59" s="227">
        <f t="shared" si="16"/>
        <v>11.200000000000003</v>
      </c>
      <c r="K59" s="227">
        <f t="shared" si="17"/>
        <v>62.3</v>
      </c>
      <c r="L59" s="228">
        <f>J59/K59</f>
        <v>0.17977528089887646</v>
      </c>
      <c r="M59" s="228"/>
      <c r="N59" s="168"/>
    </row>
    <row r="60" spans="1:14">
      <c r="A60" s="196"/>
      <c r="B60" s="197"/>
      <c r="C60" s="197"/>
      <c r="D60" s="197"/>
      <c r="E60" s="547" t="s">
        <v>521</v>
      </c>
      <c r="F60" s="547" t="s">
        <v>64</v>
      </c>
      <c r="G60" s="227">
        <v>106.5</v>
      </c>
      <c r="H60" s="227">
        <v>92</v>
      </c>
      <c r="I60" s="227">
        <v>22.6</v>
      </c>
      <c r="J60" s="227">
        <f t="shared" si="16"/>
        <v>14.5</v>
      </c>
      <c r="K60" s="227">
        <f t="shared" si="17"/>
        <v>69.400000000000006</v>
      </c>
      <c r="L60" s="228">
        <f t="shared" ref="L60:L63" si="19">J60/K60</f>
        <v>0.20893371757925069</v>
      </c>
      <c r="M60" s="229"/>
    </row>
    <row r="61" spans="1:14">
      <c r="A61" s="196"/>
      <c r="B61" s="197"/>
      <c r="C61" s="197"/>
      <c r="D61" s="197"/>
      <c r="E61" s="548" t="s">
        <v>756</v>
      </c>
      <c r="F61" s="548" t="s">
        <v>65</v>
      </c>
      <c r="G61" s="227">
        <v>91.4</v>
      </c>
      <c r="H61" s="227">
        <v>79.900000000000006</v>
      </c>
      <c r="I61" s="227">
        <v>25.9</v>
      </c>
      <c r="J61" s="227">
        <f t="shared" si="16"/>
        <v>11.5</v>
      </c>
      <c r="K61" s="227">
        <f t="shared" si="17"/>
        <v>54.000000000000007</v>
      </c>
      <c r="L61" s="228">
        <f t="shared" si="19"/>
        <v>0.21296296296296294</v>
      </c>
      <c r="M61" s="229"/>
    </row>
    <row r="62" spans="1:14">
      <c r="A62" s="196"/>
      <c r="B62" s="197"/>
      <c r="C62" s="197"/>
      <c r="D62" s="197"/>
      <c r="E62" s="547" t="s">
        <v>512</v>
      </c>
      <c r="F62" s="548" t="s">
        <v>66</v>
      </c>
      <c r="G62" s="227">
        <v>101</v>
      </c>
      <c r="H62" s="227">
        <v>83.7</v>
      </c>
      <c r="I62" s="227">
        <v>23.1</v>
      </c>
      <c r="J62" s="227">
        <f t="shared" si="16"/>
        <v>17.299999999999997</v>
      </c>
      <c r="K62" s="227">
        <f t="shared" si="17"/>
        <v>60.6</v>
      </c>
      <c r="L62" s="228">
        <f t="shared" si="19"/>
        <v>0.28547854785478544</v>
      </c>
      <c r="M62" s="229"/>
    </row>
    <row r="63" spans="1:14">
      <c r="A63" s="201"/>
      <c r="B63" s="202"/>
      <c r="C63" s="202"/>
      <c r="D63" s="202"/>
      <c r="E63" s="550" t="s">
        <v>497</v>
      </c>
      <c r="F63" s="549" t="s">
        <v>67</v>
      </c>
      <c r="G63" s="260">
        <v>101.1</v>
      </c>
      <c r="H63" s="260">
        <v>82.7</v>
      </c>
      <c r="I63" s="260">
        <v>22.2</v>
      </c>
      <c r="J63" s="260">
        <f t="shared" si="16"/>
        <v>18.399999999999991</v>
      </c>
      <c r="K63" s="260">
        <f t="shared" si="17"/>
        <v>60.5</v>
      </c>
      <c r="L63" s="261">
        <f t="shared" si="19"/>
        <v>0.30413223140495854</v>
      </c>
      <c r="M63" s="262"/>
    </row>
    <row r="64" spans="1:14">
      <c r="A64" s="191">
        <v>42348</v>
      </c>
      <c r="B64" s="192">
        <v>3</v>
      </c>
      <c r="C64" s="192">
        <v>1</v>
      </c>
      <c r="D64" s="192">
        <v>7</v>
      </c>
      <c r="E64" s="546" t="s">
        <v>758</v>
      </c>
      <c r="F64" s="194" t="s">
        <v>59</v>
      </c>
      <c r="G64" s="192">
        <v>96.4</v>
      </c>
      <c r="H64" s="192">
        <v>87.2</v>
      </c>
      <c r="I64" s="192">
        <v>25.2</v>
      </c>
      <c r="J64" s="192">
        <f t="shared" si="16"/>
        <v>9.2000000000000028</v>
      </c>
      <c r="K64" s="192">
        <f>H64-I64</f>
        <v>62</v>
      </c>
      <c r="L64" s="236">
        <f>J64/K64</f>
        <v>0.14838709677419359</v>
      </c>
      <c r="M64" s="224"/>
    </row>
    <row r="65" spans="1:14">
      <c r="A65" s="196"/>
      <c r="B65" s="197"/>
      <c r="C65" s="197">
        <v>2</v>
      </c>
      <c r="D65" s="197"/>
      <c r="E65" s="547" t="s">
        <v>759</v>
      </c>
      <c r="F65" s="199" t="s">
        <v>262</v>
      </c>
      <c r="G65" s="197">
        <v>99.3</v>
      </c>
      <c r="H65" s="197">
        <v>89.2</v>
      </c>
      <c r="I65" s="197">
        <v>25</v>
      </c>
      <c r="J65" s="197">
        <f t="shared" si="16"/>
        <v>10.099999999999994</v>
      </c>
      <c r="K65" s="197">
        <f t="shared" ref="K65:K73" si="20">H65-I65</f>
        <v>64.2</v>
      </c>
      <c r="L65" s="200">
        <f t="shared" ref="L65:L68" si="21">J65/K65</f>
        <v>0.15732087227414321</v>
      </c>
      <c r="M65" s="225"/>
    </row>
    <row r="66" spans="1:14">
      <c r="A66" s="196"/>
      <c r="B66" s="197"/>
      <c r="C66" s="197"/>
      <c r="D66" s="197"/>
      <c r="E66" s="547" t="s">
        <v>760</v>
      </c>
      <c r="F66" s="226" t="s">
        <v>60</v>
      </c>
      <c r="G66" s="227">
        <v>86.3</v>
      </c>
      <c r="H66" s="227">
        <v>76.7</v>
      </c>
      <c r="I66" s="227">
        <v>22.4</v>
      </c>
      <c r="J66" s="227">
        <f t="shared" si="16"/>
        <v>9.5999999999999943</v>
      </c>
      <c r="K66" s="227">
        <f t="shared" si="20"/>
        <v>54.300000000000004</v>
      </c>
      <c r="L66" s="228">
        <f t="shared" si="21"/>
        <v>0.17679558011049712</v>
      </c>
      <c r="M66" s="229"/>
    </row>
    <row r="67" spans="1:14">
      <c r="A67" s="196"/>
      <c r="B67" s="197"/>
      <c r="C67" s="197"/>
      <c r="D67" s="197"/>
      <c r="E67" s="548" t="s">
        <v>453</v>
      </c>
      <c r="F67" s="226" t="s">
        <v>61</v>
      </c>
      <c r="G67" s="227">
        <v>88</v>
      </c>
      <c r="H67" s="232">
        <v>79.5</v>
      </c>
      <c r="I67" s="232">
        <v>21.4</v>
      </c>
      <c r="J67" s="232">
        <f t="shared" si="16"/>
        <v>8.5</v>
      </c>
      <c r="K67" s="232">
        <f t="shared" si="20"/>
        <v>58.1</v>
      </c>
      <c r="L67" s="233">
        <f t="shared" si="21"/>
        <v>0.14629948364888123</v>
      </c>
      <c r="M67" s="229"/>
    </row>
    <row r="68" spans="1:14" s="198" customFormat="1">
      <c r="B68" s="197"/>
      <c r="C68" s="197"/>
      <c r="D68" s="197"/>
      <c r="E68" s="547" t="s">
        <v>761</v>
      </c>
      <c r="F68" s="227" t="s">
        <v>62</v>
      </c>
      <c r="G68" s="227">
        <v>106.8</v>
      </c>
      <c r="H68" s="227">
        <v>97.8</v>
      </c>
      <c r="I68" s="227">
        <v>25</v>
      </c>
      <c r="J68" s="227">
        <f t="shared" si="16"/>
        <v>9</v>
      </c>
      <c r="K68" s="227">
        <f t="shared" si="20"/>
        <v>72.8</v>
      </c>
      <c r="L68" s="228">
        <f t="shared" si="21"/>
        <v>0.12362637362637363</v>
      </c>
      <c r="M68" s="228"/>
      <c r="N68" s="168"/>
    </row>
    <row r="69" spans="1:14" s="198" customFormat="1">
      <c r="B69" s="197"/>
      <c r="C69" s="197"/>
      <c r="D69" s="197"/>
      <c r="E69" s="547" t="s">
        <v>762</v>
      </c>
      <c r="F69" s="547" t="s">
        <v>63</v>
      </c>
      <c r="G69" s="227">
        <v>95.6</v>
      </c>
      <c r="H69" s="227">
        <v>82.6</v>
      </c>
      <c r="I69" s="227">
        <v>21.8</v>
      </c>
      <c r="J69" s="227">
        <f t="shared" si="16"/>
        <v>13</v>
      </c>
      <c r="K69" s="227">
        <f t="shared" si="20"/>
        <v>60.8</v>
      </c>
      <c r="L69" s="228">
        <f>J69/K69</f>
        <v>0.21381578947368421</v>
      </c>
      <c r="M69" s="228"/>
      <c r="N69" s="168"/>
    </row>
    <row r="70" spans="1:14">
      <c r="A70" s="196"/>
      <c r="B70" s="197"/>
      <c r="C70" s="197"/>
      <c r="D70" s="197"/>
      <c r="E70" s="547" t="s">
        <v>763</v>
      </c>
      <c r="F70" s="547" t="s">
        <v>64</v>
      </c>
      <c r="G70" s="227">
        <v>97.6</v>
      </c>
      <c r="H70" s="227">
        <v>83.8</v>
      </c>
      <c r="I70" s="227">
        <v>22</v>
      </c>
      <c r="J70" s="227">
        <f t="shared" si="16"/>
        <v>13.799999999999997</v>
      </c>
      <c r="K70" s="227">
        <f t="shared" si="20"/>
        <v>61.8</v>
      </c>
      <c r="L70" s="228">
        <f t="shared" ref="L70:L73" si="22">J70/K70</f>
        <v>0.22330097087378636</v>
      </c>
      <c r="M70" s="229"/>
    </row>
    <row r="71" spans="1:14">
      <c r="A71" s="196"/>
      <c r="B71" s="197"/>
      <c r="C71" s="197"/>
      <c r="D71" s="197"/>
      <c r="E71" s="548" t="s">
        <v>764</v>
      </c>
      <c r="F71" s="548" t="s">
        <v>65</v>
      </c>
      <c r="G71" s="227">
        <v>100.5</v>
      </c>
      <c r="H71" s="227">
        <v>88.3</v>
      </c>
      <c r="I71" s="227">
        <v>23.6</v>
      </c>
      <c r="J71" s="227">
        <f t="shared" si="16"/>
        <v>12.200000000000003</v>
      </c>
      <c r="K71" s="227">
        <f t="shared" si="20"/>
        <v>64.699999999999989</v>
      </c>
      <c r="L71" s="228">
        <f t="shared" si="22"/>
        <v>0.18856259659969096</v>
      </c>
      <c r="M71" s="229"/>
    </row>
    <row r="72" spans="1:14">
      <c r="A72" s="196"/>
      <c r="B72" s="197"/>
      <c r="C72" s="197"/>
      <c r="D72" s="197"/>
      <c r="E72" s="547" t="s">
        <v>765</v>
      </c>
      <c r="F72" s="548" t="s">
        <v>66</v>
      </c>
      <c r="G72" s="227">
        <v>95.4</v>
      </c>
      <c r="H72" s="227">
        <v>84.6</v>
      </c>
      <c r="I72" s="227">
        <v>23.5</v>
      </c>
      <c r="J72" s="227">
        <f t="shared" si="16"/>
        <v>10.800000000000011</v>
      </c>
      <c r="K72" s="227">
        <f t="shared" si="20"/>
        <v>61.099999999999994</v>
      </c>
      <c r="L72" s="228">
        <f t="shared" si="22"/>
        <v>0.1767594108019642</v>
      </c>
      <c r="M72" s="229"/>
    </row>
    <row r="73" spans="1:14">
      <c r="A73" s="201"/>
      <c r="B73" s="202"/>
      <c r="C73" s="202"/>
      <c r="D73" s="202"/>
      <c r="E73" s="550" t="s">
        <v>420</v>
      </c>
      <c r="F73" s="549" t="s">
        <v>67</v>
      </c>
      <c r="G73" s="260">
        <v>114.4</v>
      </c>
      <c r="H73" s="260">
        <v>95.4</v>
      </c>
      <c r="I73" s="260">
        <v>22</v>
      </c>
      <c r="J73" s="260">
        <f t="shared" si="16"/>
        <v>19</v>
      </c>
      <c r="K73" s="260">
        <f t="shared" si="20"/>
        <v>73.400000000000006</v>
      </c>
      <c r="L73" s="261">
        <f t="shared" si="22"/>
        <v>0.25885558583106266</v>
      </c>
      <c r="M73" s="262"/>
    </row>
    <row r="74" spans="1:14">
      <c r="A74" s="191">
        <v>42348</v>
      </c>
      <c r="B74" s="192">
        <v>3</v>
      </c>
      <c r="C74" s="192">
        <v>1</v>
      </c>
      <c r="D74" s="192">
        <v>8</v>
      </c>
      <c r="E74" s="546" t="s">
        <v>426</v>
      </c>
      <c r="F74" s="194" t="s">
        <v>59</v>
      </c>
      <c r="G74" s="192">
        <v>88</v>
      </c>
      <c r="H74" s="192">
        <v>78.599999999999994</v>
      </c>
      <c r="I74" s="192">
        <v>22.5</v>
      </c>
      <c r="J74" s="192">
        <f t="shared" si="16"/>
        <v>9.4000000000000057</v>
      </c>
      <c r="K74" s="192">
        <f>H74-I74</f>
        <v>56.099999999999994</v>
      </c>
      <c r="L74" s="236">
        <f>J74/K74</f>
        <v>0.16755793226381474</v>
      </c>
      <c r="M74" s="224"/>
    </row>
    <row r="75" spans="1:14">
      <c r="A75" s="196"/>
      <c r="B75" s="197"/>
      <c r="C75" s="197">
        <v>2</v>
      </c>
      <c r="D75" s="197"/>
      <c r="E75" s="547" t="s">
        <v>695</v>
      </c>
      <c r="F75" s="199" t="s">
        <v>262</v>
      </c>
      <c r="G75" s="197">
        <v>104.5</v>
      </c>
      <c r="H75" s="197">
        <v>93.2</v>
      </c>
      <c r="I75" s="197">
        <v>25.7</v>
      </c>
      <c r="J75" s="197">
        <f t="shared" si="16"/>
        <v>11.299999999999997</v>
      </c>
      <c r="K75" s="197">
        <f t="shared" ref="K75:K83" si="23">H75-I75</f>
        <v>67.5</v>
      </c>
      <c r="L75" s="200">
        <f t="shared" ref="L75:L78" si="24">J75/K75</f>
        <v>0.16740740740740737</v>
      </c>
      <c r="M75" s="225"/>
    </row>
    <row r="76" spans="1:14">
      <c r="A76" s="196"/>
      <c r="B76" s="197"/>
      <c r="C76" s="197"/>
      <c r="D76" s="197"/>
      <c r="E76" s="547" t="s">
        <v>661</v>
      </c>
      <c r="F76" s="226" t="s">
        <v>60</v>
      </c>
      <c r="G76" s="227">
        <v>108.3</v>
      </c>
      <c r="H76" s="227">
        <v>96.3</v>
      </c>
      <c r="I76" s="227">
        <v>26</v>
      </c>
      <c r="J76" s="227">
        <f t="shared" si="16"/>
        <v>12</v>
      </c>
      <c r="K76" s="227">
        <f t="shared" si="23"/>
        <v>70.3</v>
      </c>
      <c r="L76" s="228">
        <f t="shared" si="24"/>
        <v>0.17069701280227598</v>
      </c>
      <c r="M76" s="229"/>
    </row>
    <row r="77" spans="1:14">
      <c r="A77" s="196"/>
      <c r="B77" s="197"/>
      <c r="C77" s="197"/>
      <c r="D77" s="197"/>
      <c r="E77" s="548" t="s">
        <v>504</v>
      </c>
      <c r="F77" s="226" t="s">
        <v>61</v>
      </c>
      <c r="G77" s="227">
        <v>98.9</v>
      </c>
      <c r="H77" s="232">
        <v>86.8</v>
      </c>
      <c r="I77" s="232">
        <v>23.7</v>
      </c>
      <c r="J77" s="232">
        <f t="shared" si="16"/>
        <v>12.100000000000009</v>
      </c>
      <c r="K77" s="232">
        <f t="shared" si="23"/>
        <v>63.099999999999994</v>
      </c>
      <c r="L77" s="233">
        <f t="shared" si="24"/>
        <v>0.19175911251980998</v>
      </c>
      <c r="M77" s="229"/>
    </row>
    <row r="78" spans="1:14" s="198" customFormat="1">
      <c r="B78" s="197"/>
      <c r="C78" s="197"/>
      <c r="D78" s="197"/>
      <c r="E78" s="547" t="s">
        <v>491</v>
      </c>
      <c r="F78" s="227" t="s">
        <v>62</v>
      </c>
      <c r="G78" s="227">
        <v>96.4</v>
      </c>
      <c r="H78" s="227">
        <v>82.7</v>
      </c>
      <c r="I78" s="227">
        <v>22.2</v>
      </c>
      <c r="J78" s="227">
        <f t="shared" si="16"/>
        <v>13.700000000000003</v>
      </c>
      <c r="K78" s="227">
        <f t="shared" si="23"/>
        <v>60.5</v>
      </c>
      <c r="L78" s="228">
        <f t="shared" si="24"/>
        <v>0.22644628099173558</v>
      </c>
      <c r="M78" s="228"/>
      <c r="N78" s="168"/>
    </row>
    <row r="79" spans="1:14" s="198" customFormat="1">
      <c r="B79" s="197"/>
      <c r="C79" s="197"/>
      <c r="D79" s="197"/>
      <c r="E79" s="547" t="s">
        <v>654</v>
      </c>
      <c r="F79" s="547" t="s">
        <v>63</v>
      </c>
      <c r="G79" s="227">
        <v>111.4</v>
      </c>
      <c r="H79" s="227">
        <v>92.8</v>
      </c>
      <c r="I79" s="227">
        <v>24</v>
      </c>
      <c r="J79" s="227">
        <f t="shared" si="16"/>
        <v>18.600000000000009</v>
      </c>
      <c r="K79" s="227">
        <f t="shared" si="23"/>
        <v>68.8</v>
      </c>
      <c r="L79" s="228">
        <f>J79/K79</f>
        <v>0.27034883720930247</v>
      </c>
      <c r="M79" s="228"/>
      <c r="N79" s="168"/>
    </row>
    <row r="80" spans="1:14">
      <c r="A80" s="196"/>
      <c r="B80" s="197"/>
      <c r="C80" s="197"/>
      <c r="D80" s="197"/>
      <c r="E80" s="547" t="s">
        <v>427</v>
      </c>
      <c r="F80" s="547" t="s">
        <v>64</v>
      </c>
      <c r="G80" s="227">
        <v>106.7</v>
      </c>
      <c r="H80" s="227">
        <v>88.8</v>
      </c>
      <c r="I80" s="227">
        <v>22.5</v>
      </c>
      <c r="J80" s="227">
        <f t="shared" si="16"/>
        <v>17.900000000000006</v>
      </c>
      <c r="K80" s="227">
        <f t="shared" si="23"/>
        <v>66.3</v>
      </c>
      <c r="L80" s="228">
        <f t="shared" ref="L80:L83" si="25">J80/K80</f>
        <v>0.26998491704374067</v>
      </c>
      <c r="M80" s="229"/>
    </row>
    <row r="81" spans="1:14">
      <c r="A81" s="196"/>
      <c r="B81" s="197"/>
      <c r="C81" s="197"/>
      <c r="D81" s="197"/>
      <c r="E81" s="548" t="s">
        <v>662</v>
      </c>
      <c r="F81" s="548" t="s">
        <v>65</v>
      </c>
      <c r="G81" s="227">
        <v>95.3</v>
      </c>
      <c r="H81" s="227">
        <v>80.599999999999994</v>
      </c>
      <c r="I81" s="227">
        <v>22.1</v>
      </c>
      <c r="J81" s="227">
        <f t="shared" si="16"/>
        <v>14.700000000000003</v>
      </c>
      <c r="K81" s="227">
        <f t="shared" si="23"/>
        <v>58.499999999999993</v>
      </c>
      <c r="L81" s="228">
        <f t="shared" si="25"/>
        <v>0.25128205128205139</v>
      </c>
      <c r="M81" s="229"/>
    </row>
    <row r="82" spans="1:14">
      <c r="A82" s="196"/>
      <c r="B82" s="197"/>
      <c r="C82" s="197"/>
      <c r="D82" s="197"/>
      <c r="E82" s="547" t="s">
        <v>422</v>
      </c>
      <c r="F82" s="548" t="s">
        <v>66</v>
      </c>
      <c r="G82" s="227">
        <v>104</v>
      </c>
      <c r="H82" s="227">
        <v>86.5</v>
      </c>
      <c r="I82" s="227">
        <v>21.6</v>
      </c>
      <c r="J82" s="227">
        <f t="shared" si="16"/>
        <v>17.5</v>
      </c>
      <c r="K82" s="227">
        <f t="shared" si="23"/>
        <v>64.900000000000006</v>
      </c>
      <c r="L82" s="228">
        <f t="shared" si="25"/>
        <v>0.26964560862865944</v>
      </c>
      <c r="M82" s="229"/>
    </row>
    <row r="83" spans="1:14">
      <c r="A83" s="201"/>
      <c r="B83" s="202"/>
      <c r="C83" s="202"/>
      <c r="D83" s="202"/>
      <c r="E83" s="550" t="s">
        <v>702</v>
      </c>
      <c r="F83" s="549" t="s">
        <v>67</v>
      </c>
      <c r="G83" s="260">
        <v>103.1</v>
      </c>
      <c r="H83" s="260">
        <v>85.3</v>
      </c>
      <c r="I83" s="260">
        <v>23.7</v>
      </c>
      <c r="J83" s="260">
        <f t="shared" si="16"/>
        <v>17.799999999999997</v>
      </c>
      <c r="K83" s="260">
        <f t="shared" si="23"/>
        <v>61.599999999999994</v>
      </c>
      <c r="L83" s="261">
        <f t="shared" si="25"/>
        <v>0.28896103896103892</v>
      </c>
      <c r="M83" s="262"/>
    </row>
    <row r="84" spans="1:14">
      <c r="A84" s="191">
        <v>42348</v>
      </c>
      <c r="B84" s="192">
        <v>3</v>
      </c>
      <c r="C84" s="192">
        <v>1</v>
      </c>
      <c r="D84" s="192">
        <v>9</v>
      </c>
      <c r="E84" s="546" t="s">
        <v>766</v>
      </c>
      <c r="F84" s="194" t="s">
        <v>59</v>
      </c>
      <c r="G84" s="192">
        <v>103.9</v>
      </c>
      <c r="H84" s="192">
        <v>92.5</v>
      </c>
      <c r="I84" s="192">
        <v>26.7</v>
      </c>
      <c r="J84" s="192">
        <f t="shared" ref="J84:J113" si="26">G84-H84</f>
        <v>11.400000000000006</v>
      </c>
      <c r="K84" s="192">
        <f>H84-I84</f>
        <v>65.8</v>
      </c>
      <c r="L84" s="236">
        <f>J84/K84</f>
        <v>0.17325227963525847</v>
      </c>
      <c r="M84" s="224"/>
    </row>
    <row r="85" spans="1:14">
      <c r="A85" s="196"/>
      <c r="B85" s="197"/>
      <c r="C85" s="197">
        <v>2</v>
      </c>
      <c r="D85" s="197"/>
      <c r="E85" s="547" t="s">
        <v>767</v>
      </c>
      <c r="F85" s="199" t="s">
        <v>262</v>
      </c>
      <c r="G85" s="197">
        <v>91.4</v>
      </c>
      <c r="H85" s="197">
        <v>80.900000000000006</v>
      </c>
      <c r="I85" s="197">
        <v>23.5</v>
      </c>
      <c r="J85" s="197">
        <f t="shared" si="26"/>
        <v>10.5</v>
      </c>
      <c r="K85" s="197">
        <f t="shared" ref="K85:K93" si="27">H85-I85</f>
        <v>57.400000000000006</v>
      </c>
      <c r="L85" s="200">
        <f t="shared" ref="L85:L88" si="28">J85/K85</f>
        <v>0.18292682926829265</v>
      </c>
      <c r="M85" s="225"/>
    </row>
    <row r="86" spans="1:14">
      <c r="A86" s="196"/>
      <c r="B86" s="197"/>
      <c r="C86" s="197"/>
      <c r="D86" s="197"/>
      <c r="E86" s="547" t="s">
        <v>688</v>
      </c>
      <c r="F86" s="226" t="s">
        <v>60</v>
      </c>
      <c r="G86" s="227">
        <v>94.8</v>
      </c>
      <c r="H86" s="227">
        <v>84.4</v>
      </c>
      <c r="I86" s="227">
        <v>24.3</v>
      </c>
      <c r="J86" s="227">
        <f t="shared" si="26"/>
        <v>10.399999999999991</v>
      </c>
      <c r="K86" s="227">
        <f t="shared" si="27"/>
        <v>60.100000000000009</v>
      </c>
      <c r="L86" s="228">
        <f t="shared" si="28"/>
        <v>0.17304492512479186</v>
      </c>
      <c r="M86" s="229"/>
    </row>
    <row r="87" spans="1:14">
      <c r="A87" s="196"/>
      <c r="B87" s="197"/>
      <c r="C87" s="197"/>
      <c r="D87" s="197"/>
      <c r="E87" s="548" t="s">
        <v>432</v>
      </c>
      <c r="F87" s="226" t="s">
        <v>61</v>
      </c>
      <c r="G87" s="227">
        <v>111.6</v>
      </c>
      <c r="H87" s="232">
        <v>100.7</v>
      </c>
      <c r="I87" s="232">
        <v>37.200000000000003</v>
      </c>
      <c r="J87" s="232">
        <f t="shared" si="26"/>
        <v>10.899999999999991</v>
      </c>
      <c r="K87" s="232">
        <f t="shared" si="27"/>
        <v>63.5</v>
      </c>
      <c r="L87" s="233">
        <f t="shared" si="28"/>
        <v>0.17165354330708649</v>
      </c>
      <c r="M87" s="229"/>
    </row>
    <row r="88" spans="1:14" s="198" customFormat="1">
      <c r="B88" s="197"/>
      <c r="C88" s="197"/>
      <c r="D88" s="197"/>
      <c r="E88" s="547" t="s">
        <v>670</v>
      </c>
      <c r="F88" s="227" t="s">
        <v>62</v>
      </c>
      <c r="G88" s="227">
        <v>107.3</v>
      </c>
      <c r="H88" s="227">
        <v>94.1</v>
      </c>
      <c r="I88" s="227">
        <v>22</v>
      </c>
      <c r="J88" s="227">
        <f t="shared" si="26"/>
        <v>13.200000000000003</v>
      </c>
      <c r="K88" s="227">
        <f t="shared" si="27"/>
        <v>72.099999999999994</v>
      </c>
      <c r="L88" s="228">
        <f t="shared" si="28"/>
        <v>0.18307905686546469</v>
      </c>
      <c r="M88" s="228"/>
      <c r="N88" s="168"/>
    </row>
    <row r="89" spans="1:14" s="198" customFormat="1">
      <c r="B89" s="197"/>
      <c r="C89" s="197"/>
      <c r="D89" s="197"/>
      <c r="E89" s="547" t="s">
        <v>675</v>
      </c>
      <c r="F89" s="547" t="s">
        <v>63</v>
      </c>
      <c r="G89" s="227">
        <v>98.9</v>
      </c>
      <c r="H89" s="227">
        <v>84.5</v>
      </c>
      <c r="I89" s="227">
        <v>22.9</v>
      </c>
      <c r="J89" s="227">
        <f t="shared" si="26"/>
        <v>14.400000000000006</v>
      </c>
      <c r="K89" s="227">
        <f t="shared" si="27"/>
        <v>61.6</v>
      </c>
      <c r="L89" s="228">
        <f>J89/K89</f>
        <v>0.23376623376623384</v>
      </c>
      <c r="M89" s="228"/>
      <c r="N89" s="168"/>
    </row>
    <row r="90" spans="1:14">
      <c r="A90" s="196"/>
      <c r="B90" s="197"/>
      <c r="C90" s="197"/>
      <c r="D90" s="197"/>
      <c r="E90" s="547" t="s">
        <v>458</v>
      </c>
      <c r="F90" s="547" t="s">
        <v>64</v>
      </c>
      <c r="G90" s="227">
        <v>110.2</v>
      </c>
      <c r="H90" s="227">
        <v>96</v>
      </c>
      <c r="I90" s="227">
        <v>25.9</v>
      </c>
      <c r="J90" s="227">
        <f t="shared" si="26"/>
        <v>14.200000000000003</v>
      </c>
      <c r="K90" s="227">
        <f t="shared" si="27"/>
        <v>70.099999999999994</v>
      </c>
      <c r="L90" s="228">
        <f t="shared" ref="L90:L93" si="29">J90/K90</f>
        <v>0.20256776034236809</v>
      </c>
      <c r="M90" s="229"/>
    </row>
    <row r="91" spans="1:14">
      <c r="A91" s="196"/>
      <c r="B91" s="197"/>
      <c r="C91" s="197"/>
      <c r="D91" s="197"/>
      <c r="E91" s="548" t="s">
        <v>435</v>
      </c>
      <c r="F91" s="548" t="s">
        <v>65</v>
      </c>
      <c r="G91" s="227">
        <v>112.1</v>
      </c>
      <c r="H91" s="227">
        <v>96</v>
      </c>
      <c r="I91" s="227">
        <v>21</v>
      </c>
      <c r="J91" s="227">
        <f t="shared" si="26"/>
        <v>16.099999999999994</v>
      </c>
      <c r="K91" s="227">
        <f t="shared" si="27"/>
        <v>75</v>
      </c>
      <c r="L91" s="228">
        <f t="shared" si="29"/>
        <v>0.21466666666666659</v>
      </c>
      <c r="M91" s="229"/>
    </row>
    <row r="92" spans="1:14">
      <c r="A92" s="196"/>
      <c r="B92" s="197"/>
      <c r="C92" s="197"/>
      <c r="D92" s="197"/>
      <c r="E92" s="547" t="s">
        <v>658</v>
      </c>
      <c r="F92" s="548" t="s">
        <v>66</v>
      </c>
      <c r="G92" s="227">
        <v>93.1</v>
      </c>
      <c r="H92" s="227">
        <v>81.599999999999994</v>
      </c>
      <c r="I92" s="227">
        <v>23.6</v>
      </c>
      <c r="J92" s="227">
        <f t="shared" si="26"/>
        <v>11.5</v>
      </c>
      <c r="K92" s="227">
        <f t="shared" si="27"/>
        <v>57.999999999999993</v>
      </c>
      <c r="L92" s="228">
        <f t="shared" si="29"/>
        <v>0.19827586206896555</v>
      </c>
      <c r="M92" s="229"/>
    </row>
    <row r="93" spans="1:14">
      <c r="A93" s="201"/>
      <c r="B93" s="202"/>
      <c r="C93" s="202"/>
      <c r="D93" s="202"/>
      <c r="E93" s="550" t="s">
        <v>685</v>
      </c>
      <c r="F93" s="549" t="s">
        <v>67</v>
      </c>
      <c r="G93" s="260">
        <v>97.5</v>
      </c>
      <c r="H93" s="260">
        <v>85.7</v>
      </c>
      <c r="I93" s="260">
        <v>29.8</v>
      </c>
      <c r="J93" s="260">
        <f t="shared" si="26"/>
        <v>11.799999999999997</v>
      </c>
      <c r="K93" s="260">
        <f t="shared" si="27"/>
        <v>55.900000000000006</v>
      </c>
      <c r="L93" s="261">
        <f t="shared" si="29"/>
        <v>0.21109123434704824</v>
      </c>
      <c r="M93" s="262"/>
    </row>
    <row r="94" spans="1:14">
      <c r="A94" s="191">
        <v>42348</v>
      </c>
      <c r="B94" s="192">
        <v>1</v>
      </c>
      <c r="C94" s="192">
        <v>1</v>
      </c>
      <c r="D94" s="192">
        <v>10</v>
      </c>
      <c r="E94" s="546" t="s">
        <v>515</v>
      </c>
      <c r="F94" s="194" t="s">
        <v>59</v>
      </c>
      <c r="G94" s="192">
        <v>95.7</v>
      </c>
      <c r="H94" s="192">
        <v>85.9</v>
      </c>
      <c r="I94" s="192">
        <v>21.2</v>
      </c>
      <c r="J94" s="192">
        <f t="shared" si="26"/>
        <v>9.7999999999999972</v>
      </c>
      <c r="K94" s="192">
        <f>H94-I94</f>
        <v>64.7</v>
      </c>
      <c r="L94" s="236">
        <f>J94/K94</f>
        <v>0.15146831530139099</v>
      </c>
      <c r="M94" s="224"/>
    </row>
    <row r="95" spans="1:14">
      <c r="A95" s="196"/>
      <c r="B95" s="197"/>
      <c r="C95" s="197">
        <v>2</v>
      </c>
      <c r="D95" s="197"/>
      <c r="E95" s="547" t="s">
        <v>475</v>
      </c>
      <c r="F95" s="199" t="s">
        <v>262</v>
      </c>
      <c r="G95" s="197">
        <v>102.3</v>
      </c>
      <c r="H95" s="197">
        <v>91.7</v>
      </c>
      <c r="I95" s="197">
        <v>20</v>
      </c>
      <c r="J95" s="197">
        <f t="shared" si="26"/>
        <v>10.599999999999994</v>
      </c>
      <c r="K95" s="197">
        <f t="shared" ref="K95:K103" si="30">H95-I95</f>
        <v>71.7</v>
      </c>
      <c r="L95" s="200">
        <f t="shared" ref="L95:L98" si="31">J95/K95</f>
        <v>0.14783821478382139</v>
      </c>
      <c r="M95" s="225"/>
    </row>
    <row r="96" spans="1:14">
      <c r="A96" s="196"/>
      <c r="B96" s="197"/>
      <c r="C96" s="197"/>
      <c r="D96" s="197"/>
      <c r="E96" s="547" t="s">
        <v>714</v>
      </c>
      <c r="F96" s="226" t="s">
        <v>60</v>
      </c>
      <c r="G96" s="227">
        <v>112.7</v>
      </c>
      <c r="H96" s="227">
        <v>101.3</v>
      </c>
      <c r="I96" s="227">
        <v>24.8</v>
      </c>
      <c r="J96" s="227">
        <f t="shared" si="26"/>
        <v>11.400000000000006</v>
      </c>
      <c r="K96" s="227">
        <f t="shared" si="30"/>
        <v>76.5</v>
      </c>
      <c r="L96" s="228">
        <f t="shared" si="31"/>
        <v>0.14901960784313734</v>
      </c>
      <c r="M96" s="229"/>
    </row>
    <row r="97" spans="1:14">
      <c r="A97" s="196"/>
      <c r="B97" s="197"/>
      <c r="C97" s="197"/>
      <c r="D97" s="197"/>
      <c r="E97" s="548" t="s">
        <v>468</v>
      </c>
      <c r="F97" s="226" t="s">
        <v>61</v>
      </c>
      <c r="G97" s="227">
        <v>93.6</v>
      </c>
      <c r="H97" s="232">
        <v>86.1</v>
      </c>
      <c r="I97" s="232">
        <v>30.1</v>
      </c>
      <c r="J97" s="232">
        <f t="shared" si="26"/>
        <v>7.5</v>
      </c>
      <c r="K97" s="232">
        <f t="shared" si="30"/>
        <v>55.999999999999993</v>
      </c>
      <c r="L97" s="233">
        <f t="shared" si="31"/>
        <v>0.13392857142857145</v>
      </c>
      <c r="M97" s="229"/>
    </row>
    <row r="98" spans="1:14" s="198" customFormat="1">
      <c r="B98" s="197"/>
      <c r="C98" s="197"/>
      <c r="D98" s="197"/>
      <c r="E98" s="547" t="s">
        <v>519</v>
      </c>
      <c r="F98" s="227" t="s">
        <v>62</v>
      </c>
      <c r="G98" s="227">
        <v>104.9</v>
      </c>
      <c r="H98" s="227">
        <v>96.5</v>
      </c>
      <c r="I98" s="227">
        <v>20.8</v>
      </c>
      <c r="J98" s="227">
        <f t="shared" si="26"/>
        <v>8.4000000000000057</v>
      </c>
      <c r="K98" s="227">
        <f t="shared" si="30"/>
        <v>75.7</v>
      </c>
      <c r="L98" s="228">
        <f t="shared" si="31"/>
        <v>0.11096433289299874</v>
      </c>
      <c r="M98" s="228"/>
      <c r="N98" s="168"/>
    </row>
    <row r="99" spans="1:14" s="198" customFormat="1">
      <c r="B99" s="197"/>
      <c r="C99" s="197"/>
      <c r="D99" s="197"/>
      <c r="E99" s="547" t="s">
        <v>651</v>
      </c>
      <c r="F99" s="547" t="s">
        <v>63</v>
      </c>
      <c r="G99" s="227">
        <v>95.1</v>
      </c>
      <c r="H99" s="227">
        <v>87</v>
      </c>
      <c r="I99" s="227">
        <v>23.7</v>
      </c>
      <c r="J99" s="227">
        <f t="shared" si="26"/>
        <v>8.0999999999999943</v>
      </c>
      <c r="K99" s="227">
        <f t="shared" si="30"/>
        <v>63.3</v>
      </c>
      <c r="L99" s="228">
        <f>J99/K99</f>
        <v>0.12796208530805678</v>
      </c>
      <c r="M99" s="228"/>
      <c r="N99" s="168"/>
    </row>
    <row r="100" spans="1:14">
      <c r="A100" s="196"/>
      <c r="B100" s="197"/>
      <c r="C100" s="197"/>
      <c r="D100" s="197"/>
      <c r="E100" s="547" t="s">
        <v>444</v>
      </c>
      <c r="F100" s="547" t="s">
        <v>64</v>
      </c>
      <c r="G100" s="227">
        <v>102.9</v>
      </c>
      <c r="H100" s="227">
        <v>90.6</v>
      </c>
      <c r="I100" s="227">
        <v>22.2</v>
      </c>
      <c r="J100" s="227">
        <f t="shared" si="26"/>
        <v>12.300000000000011</v>
      </c>
      <c r="K100" s="227">
        <f t="shared" si="30"/>
        <v>68.399999999999991</v>
      </c>
      <c r="L100" s="228">
        <f t="shared" ref="L100:L103" si="32">J100/K100</f>
        <v>0.17982456140350897</v>
      </c>
      <c r="M100" s="229"/>
    </row>
    <row r="101" spans="1:14">
      <c r="A101" s="196"/>
      <c r="B101" s="197"/>
      <c r="C101" s="197"/>
      <c r="D101" s="197"/>
      <c r="E101" s="548" t="s">
        <v>768</v>
      </c>
      <c r="F101" s="548" t="s">
        <v>65</v>
      </c>
      <c r="G101" s="227">
        <v>100.9</v>
      </c>
      <c r="H101" s="227">
        <v>88.5</v>
      </c>
      <c r="I101" s="227">
        <v>25.6</v>
      </c>
      <c r="J101" s="227">
        <f t="shared" si="26"/>
        <v>12.400000000000006</v>
      </c>
      <c r="K101" s="227">
        <f t="shared" si="30"/>
        <v>62.9</v>
      </c>
      <c r="L101" s="228">
        <f t="shared" si="32"/>
        <v>0.19713831478537369</v>
      </c>
      <c r="M101" s="229"/>
    </row>
    <row r="102" spans="1:14">
      <c r="A102" s="196"/>
      <c r="B102" s="197"/>
      <c r="C102" s="197"/>
      <c r="D102" s="197"/>
      <c r="E102" s="547" t="s">
        <v>694</v>
      </c>
      <c r="F102" s="548" t="s">
        <v>66</v>
      </c>
      <c r="G102" s="227">
        <v>97.9</v>
      </c>
      <c r="H102" s="227">
        <v>83.4</v>
      </c>
      <c r="I102" s="227">
        <v>26</v>
      </c>
      <c r="J102" s="227">
        <f t="shared" si="26"/>
        <v>14.5</v>
      </c>
      <c r="K102" s="227">
        <f t="shared" si="30"/>
        <v>57.400000000000006</v>
      </c>
      <c r="L102" s="228">
        <f t="shared" si="32"/>
        <v>0.25261324041811845</v>
      </c>
      <c r="M102" s="229"/>
    </row>
    <row r="103" spans="1:14">
      <c r="A103" s="201"/>
      <c r="B103" s="202"/>
      <c r="C103" s="202"/>
      <c r="D103" s="202"/>
      <c r="E103" s="550" t="s">
        <v>667</v>
      </c>
      <c r="F103" s="549" t="s">
        <v>67</v>
      </c>
      <c r="G103" s="260">
        <v>105.6</v>
      </c>
      <c r="H103" s="260">
        <v>89.1</v>
      </c>
      <c r="I103" s="260">
        <v>23.2</v>
      </c>
      <c r="J103" s="260">
        <f t="shared" si="26"/>
        <v>16.5</v>
      </c>
      <c r="K103" s="260">
        <f t="shared" si="30"/>
        <v>65.899999999999991</v>
      </c>
      <c r="L103" s="261">
        <f t="shared" si="32"/>
        <v>0.25037936267071326</v>
      </c>
      <c r="M103" s="262"/>
    </row>
    <row r="104" spans="1:14">
      <c r="A104" s="191">
        <v>42348</v>
      </c>
      <c r="B104" s="192">
        <v>2</v>
      </c>
      <c r="C104" s="192">
        <v>1</v>
      </c>
      <c r="D104" s="192">
        <v>11</v>
      </c>
      <c r="E104" s="546" t="s">
        <v>769</v>
      </c>
      <c r="F104" s="194" t="s">
        <v>59</v>
      </c>
      <c r="G104" s="192">
        <v>107.1</v>
      </c>
      <c r="H104" s="192">
        <v>97.8</v>
      </c>
      <c r="I104" s="192">
        <v>24.7</v>
      </c>
      <c r="J104" s="192">
        <f t="shared" si="26"/>
        <v>9.2999999999999972</v>
      </c>
      <c r="K104" s="192">
        <f>H104-I104</f>
        <v>73.099999999999994</v>
      </c>
      <c r="L104" s="236">
        <f>J104/K104</f>
        <v>0.12722298221614226</v>
      </c>
      <c r="M104" s="224"/>
    </row>
    <row r="105" spans="1:14">
      <c r="A105" s="196"/>
      <c r="B105" s="197"/>
      <c r="C105" s="197">
        <v>2</v>
      </c>
      <c r="D105" s="197"/>
      <c r="E105" s="547" t="s">
        <v>509</v>
      </c>
      <c r="F105" s="199" t="s">
        <v>262</v>
      </c>
      <c r="G105" s="197">
        <v>99.7</v>
      </c>
      <c r="H105" s="197">
        <v>90.1</v>
      </c>
      <c r="I105" s="197">
        <v>20.8</v>
      </c>
      <c r="J105" s="197">
        <f t="shared" si="26"/>
        <v>9.6000000000000085</v>
      </c>
      <c r="K105" s="197">
        <f t="shared" ref="K105:K113" si="33">H105-I105</f>
        <v>69.3</v>
      </c>
      <c r="L105" s="200">
        <f t="shared" ref="L105:L108" si="34">J105/K105</f>
        <v>0.13852813852813867</v>
      </c>
      <c r="M105" s="225"/>
    </row>
    <row r="106" spans="1:14">
      <c r="A106" s="196"/>
      <c r="B106" s="197"/>
      <c r="C106" s="197"/>
      <c r="D106" s="197"/>
      <c r="E106" s="547" t="s">
        <v>477</v>
      </c>
      <c r="F106" s="226" t="s">
        <v>60</v>
      </c>
      <c r="G106" s="227">
        <v>85.7</v>
      </c>
      <c r="H106" s="227">
        <v>78.400000000000006</v>
      </c>
      <c r="I106" s="227">
        <v>22.4</v>
      </c>
      <c r="J106" s="227">
        <f t="shared" si="26"/>
        <v>7.2999999999999972</v>
      </c>
      <c r="K106" s="227">
        <f t="shared" si="33"/>
        <v>56.000000000000007</v>
      </c>
      <c r="L106" s="228">
        <f t="shared" si="34"/>
        <v>0.13035714285714278</v>
      </c>
      <c r="M106" s="229"/>
    </row>
    <row r="107" spans="1:14">
      <c r="A107" s="196"/>
      <c r="B107" s="197"/>
      <c r="C107" s="197"/>
      <c r="D107" s="197"/>
      <c r="E107" s="548" t="s">
        <v>693</v>
      </c>
      <c r="F107" s="226" t="s">
        <v>61</v>
      </c>
      <c r="G107" s="227">
        <v>111.3</v>
      </c>
      <c r="H107" s="232">
        <v>101.2</v>
      </c>
      <c r="I107" s="232">
        <v>23.7</v>
      </c>
      <c r="J107" s="232">
        <f t="shared" si="26"/>
        <v>10.099999999999994</v>
      </c>
      <c r="K107" s="232">
        <f t="shared" si="33"/>
        <v>77.5</v>
      </c>
      <c r="L107" s="233">
        <f t="shared" si="34"/>
        <v>0.13032258064516122</v>
      </c>
      <c r="M107" s="229"/>
    </row>
    <row r="108" spans="1:14" s="198" customFormat="1">
      <c r="B108" s="197"/>
      <c r="C108" s="197"/>
      <c r="D108" s="197"/>
      <c r="E108" s="547" t="s">
        <v>770</v>
      </c>
      <c r="F108" s="227" t="s">
        <v>62</v>
      </c>
      <c r="G108" s="227">
        <v>90.8</v>
      </c>
      <c r="H108" s="227">
        <v>82.8</v>
      </c>
      <c r="I108" s="227">
        <v>22.7</v>
      </c>
      <c r="J108" s="227">
        <f t="shared" si="26"/>
        <v>8</v>
      </c>
      <c r="K108" s="227">
        <f t="shared" si="33"/>
        <v>60.099999999999994</v>
      </c>
      <c r="L108" s="228">
        <f t="shared" si="34"/>
        <v>0.13311148086522465</v>
      </c>
      <c r="M108" s="228"/>
      <c r="N108" s="168"/>
    </row>
    <row r="109" spans="1:14" s="198" customFormat="1">
      <c r="B109" s="197"/>
      <c r="C109" s="197"/>
      <c r="D109" s="197"/>
      <c r="E109" s="547" t="s">
        <v>771</v>
      </c>
      <c r="F109" s="547" t="s">
        <v>63</v>
      </c>
      <c r="G109" s="227">
        <v>98.7</v>
      </c>
      <c r="H109" s="227">
        <v>89.1</v>
      </c>
      <c r="I109" s="227">
        <v>23.6</v>
      </c>
      <c r="J109" s="227">
        <f t="shared" si="26"/>
        <v>9.6000000000000085</v>
      </c>
      <c r="K109" s="227">
        <f t="shared" si="33"/>
        <v>65.5</v>
      </c>
      <c r="L109" s="228">
        <f>J109/K109</f>
        <v>0.14656488549618332</v>
      </c>
      <c r="M109" s="228"/>
      <c r="N109" s="168"/>
    </row>
    <row r="110" spans="1:14">
      <c r="A110" s="196"/>
      <c r="B110" s="197"/>
      <c r="C110" s="197"/>
      <c r="D110" s="197"/>
      <c r="E110" s="547" t="s">
        <v>505</v>
      </c>
      <c r="F110" s="547" t="s">
        <v>64</v>
      </c>
      <c r="G110" s="227">
        <v>96.4</v>
      </c>
      <c r="H110" s="227">
        <v>85.4</v>
      </c>
      <c r="I110" s="227">
        <v>21.2</v>
      </c>
      <c r="J110" s="227">
        <f t="shared" si="26"/>
        <v>11</v>
      </c>
      <c r="K110" s="227">
        <f t="shared" si="33"/>
        <v>64.2</v>
      </c>
      <c r="L110" s="228">
        <f t="shared" ref="L110:L113" si="35">J110/K110</f>
        <v>0.17133956386292834</v>
      </c>
      <c r="M110" s="229"/>
    </row>
    <row r="111" spans="1:14">
      <c r="A111" s="196"/>
      <c r="B111" s="197"/>
      <c r="C111" s="197"/>
      <c r="D111" s="197"/>
      <c r="E111" s="548" t="s">
        <v>772</v>
      </c>
      <c r="F111" s="548" t="s">
        <v>65</v>
      </c>
      <c r="G111" s="227">
        <v>103</v>
      </c>
      <c r="H111" s="227">
        <v>89.4</v>
      </c>
      <c r="I111" s="227">
        <v>24.1</v>
      </c>
      <c r="J111" s="227">
        <f t="shared" si="26"/>
        <v>13.599999999999994</v>
      </c>
      <c r="K111" s="227">
        <f t="shared" si="33"/>
        <v>65.300000000000011</v>
      </c>
      <c r="L111" s="228">
        <f t="shared" si="35"/>
        <v>0.20826952526799375</v>
      </c>
      <c r="M111" s="229"/>
    </row>
    <row r="112" spans="1:14">
      <c r="A112" s="196"/>
      <c r="B112" s="197"/>
      <c r="C112" s="197"/>
      <c r="D112" s="197"/>
      <c r="E112" s="547" t="s">
        <v>773</v>
      </c>
      <c r="F112" s="548" t="s">
        <v>66</v>
      </c>
      <c r="G112" s="227">
        <v>110.7</v>
      </c>
      <c r="H112" s="227">
        <v>95.1</v>
      </c>
      <c r="I112" s="227">
        <v>23.1</v>
      </c>
      <c r="J112" s="227">
        <f t="shared" si="26"/>
        <v>15.600000000000009</v>
      </c>
      <c r="K112" s="227">
        <f t="shared" si="33"/>
        <v>72</v>
      </c>
      <c r="L112" s="228">
        <f t="shared" si="35"/>
        <v>0.21666666666666679</v>
      </c>
      <c r="M112" s="229"/>
    </row>
    <row r="113" spans="1:14">
      <c r="A113" s="201"/>
      <c r="B113" s="202"/>
      <c r="C113" s="202"/>
      <c r="D113" s="202"/>
      <c r="E113" s="550" t="s">
        <v>506</v>
      </c>
      <c r="F113" s="549" t="s">
        <v>67</v>
      </c>
      <c r="G113" s="260">
        <v>86.9</v>
      </c>
      <c r="H113" s="260">
        <v>74.3</v>
      </c>
      <c r="I113" s="260">
        <v>22.6</v>
      </c>
      <c r="J113" s="260">
        <f t="shared" si="26"/>
        <v>12.600000000000009</v>
      </c>
      <c r="K113" s="260">
        <f t="shared" si="33"/>
        <v>51.699999999999996</v>
      </c>
      <c r="L113" s="261">
        <f t="shared" si="35"/>
        <v>0.2437137330754354</v>
      </c>
      <c r="M113" s="262"/>
    </row>
    <row r="114" spans="1:14">
      <c r="A114" s="191">
        <v>42348</v>
      </c>
      <c r="B114" s="192">
        <v>3</v>
      </c>
      <c r="C114" s="192">
        <v>1</v>
      </c>
      <c r="D114" s="192">
        <v>12</v>
      </c>
      <c r="E114" s="546" t="s">
        <v>774</v>
      </c>
      <c r="F114" s="194" t="s">
        <v>59</v>
      </c>
      <c r="G114" s="192">
        <v>110.2</v>
      </c>
      <c r="H114" s="192">
        <v>99.1</v>
      </c>
      <c r="I114" s="192">
        <v>23.7</v>
      </c>
      <c r="J114" s="192">
        <f t="shared" ref="J114:J123" si="36">G114-H114</f>
        <v>11.100000000000009</v>
      </c>
      <c r="K114" s="192">
        <f>H114-I114</f>
        <v>75.399999999999991</v>
      </c>
      <c r="L114" s="236">
        <f>J114/K114</f>
        <v>0.14721485411140597</v>
      </c>
      <c r="M114" s="224"/>
    </row>
    <row r="115" spans="1:14">
      <c r="A115" s="196"/>
      <c r="B115" s="197"/>
      <c r="C115" s="197">
        <v>2</v>
      </c>
      <c r="D115" s="197"/>
      <c r="E115" s="547" t="s">
        <v>716</v>
      </c>
      <c r="F115" s="199" t="s">
        <v>262</v>
      </c>
      <c r="G115" s="197">
        <v>104.2</v>
      </c>
      <c r="H115" s="197">
        <v>93.5</v>
      </c>
      <c r="I115" s="197">
        <v>22.9</v>
      </c>
      <c r="J115" s="197">
        <f t="shared" si="36"/>
        <v>10.700000000000003</v>
      </c>
      <c r="K115" s="197">
        <f t="shared" ref="K115:K123" si="37">H115-I115</f>
        <v>70.599999999999994</v>
      </c>
      <c r="L115" s="200">
        <f t="shared" ref="L115:L118" si="38">J115/K115</f>
        <v>0.15155807365439097</v>
      </c>
      <c r="M115" s="225"/>
    </row>
    <row r="116" spans="1:14">
      <c r="A116" s="196"/>
      <c r="B116" s="197"/>
      <c r="C116" s="197"/>
      <c r="D116" s="197"/>
      <c r="E116" s="547" t="s">
        <v>775</v>
      </c>
      <c r="F116" s="226" t="s">
        <v>60</v>
      </c>
      <c r="G116" s="227">
        <v>101.8</v>
      </c>
      <c r="H116" s="227">
        <v>91.9</v>
      </c>
      <c r="I116" s="227">
        <v>21.3</v>
      </c>
      <c r="J116" s="227">
        <f t="shared" si="36"/>
        <v>9.8999999999999915</v>
      </c>
      <c r="K116" s="227">
        <f t="shared" si="37"/>
        <v>70.600000000000009</v>
      </c>
      <c r="L116" s="228">
        <f t="shared" si="38"/>
        <v>0.140226628895184</v>
      </c>
      <c r="M116" s="229"/>
    </row>
    <row r="117" spans="1:14">
      <c r="A117" s="196"/>
      <c r="B117" s="197"/>
      <c r="C117" s="197"/>
      <c r="D117" s="197"/>
      <c r="E117" s="548" t="s">
        <v>776</v>
      </c>
      <c r="F117" s="226" t="s">
        <v>61</v>
      </c>
      <c r="G117" s="227">
        <v>87.9</v>
      </c>
      <c r="H117" s="232">
        <v>79</v>
      </c>
      <c r="I117" s="232">
        <v>22.6</v>
      </c>
      <c r="J117" s="232">
        <f t="shared" si="36"/>
        <v>8.9000000000000057</v>
      </c>
      <c r="K117" s="232">
        <f t="shared" si="37"/>
        <v>56.4</v>
      </c>
      <c r="L117" s="233">
        <f t="shared" si="38"/>
        <v>0.15780141843971643</v>
      </c>
      <c r="M117" s="229"/>
    </row>
    <row r="118" spans="1:14" s="198" customFormat="1">
      <c r="B118" s="197"/>
      <c r="C118" s="197"/>
      <c r="D118" s="197"/>
      <c r="E118" s="547" t="s">
        <v>777</v>
      </c>
      <c r="F118" s="227" t="s">
        <v>62</v>
      </c>
      <c r="G118" s="227">
        <v>91.6</v>
      </c>
      <c r="H118" s="227">
        <v>82.8</v>
      </c>
      <c r="I118" s="227">
        <v>23</v>
      </c>
      <c r="J118" s="227">
        <f t="shared" si="36"/>
        <v>8.7999999999999972</v>
      </c>
      <c r="K118" s="227">
        <f t="shared" si="37"/>
        <v>59.8</v>
      </c>
      <c r="L118" s="228">
        <f t="shared" si="38"/>
        <v>0.14715719063545146</v>
      </c>
      <c r="M118" s="228"/>
      <c r="N118" s="168"/>
    </row>
    <row r="119" spans="1:14" s="198" customFormat="1">
      <c r="B119" s="197"/>
      <c r="C119" s="197"/>
      <c r="D119" s="197"/>
      <c r="E119" s="547" t="s">
        <v>778</v>
      </c>
      <c r="F119" s="547" t="s">
        <v>63</v>
      </c>
      <c r="G119" s="227">
        <v>101.5</v>
      </c>
      <c r="H119" s="227">
        <v>90.6</v>
      </c>
      <c r="I119" s="227">
        <v>23.7</v>
      </c>
      <c r="J119" s="227">
        <f t="shared" si="36"/>
        <v>10.900000000000006</v>
      </c>
      <c r="K119" s="227">
        <f t="shared" si="37"/>
        <v>66.899999999999991</v>
      </c>
      <c r="L119" s="228">
        <f>J119/K119</f>
        <v>0.16292974588938725</v>
      </c>
      <c r="M119" s="228"/>
      <c r="N119" s="168"/>
    </row>
    <row r="120" spans="1:14">
      <c r="A120" s="196"/>
      <c r="B120" s="197"/>
      <c r="C120" s="197"/>
      <c r="D120" s="197"/>
      <c r="E120" s="547" t="s">
        <v>517</v>
      </c>
      <c r="F120" s="547" t="s">
        <v>64</v>
      </c>
      <c r="G120" s="227">
        <v>97.4</v>
      </c>
      <c r="H120" s="227">
        <v>86.2</v>
      </c>
      <c r="I120" s="227">
        <v>19.899999999999999</v>
      </c>
      <c r="J120" s="227">
        <f t="shared" si="36"/>
        <v>11.200000000000003</v>
      </c>
      <c r="K120" s="227">
        <f t="shared" si="37"/>
        <v>66.300000000000011</v>
      </c>
      <c r="L120" s="228">
        <f t="shared" ref="L120:L123" si="39">J120/K120</f>
        <v>0.1689291101055807</v>
      </c>
      <c r="M120" s="229"/>
    </row>
    <row r="121" spans="1:14">
      <c r="A121" s="196"/>
      <c r="B121" s="197"/>
      <c r="C121" s="197"/>
      <c r="D121" s="197"/>
      <c r="E121" s="548" t="s">
        <v>496</v>
      </c>
      <c r="F121" s="548" t="s">
        <v>65</v>
      </c>
      <c r="G121" s="227">
        <v>110.4</v>
      </c>
      <c r="H121" s="227">
        <v>95.5</v>
      </c>
      <c r="I121" s="227">
        <v>22</v>
      </c>
      <c r="J121" s="227">
        <f t="shared" si="36"/>
        <v>14.900000000000006</v>
      </c>
      <c r="K121" s="227">
        <f t="shared" si="37"/>
        <v>73.5</v>
      </c>
      <c r="L121" s="228">
        <f t="shared" si="39"/>
        <v>0.20272108843537423</v>
      </c>
      <c r="M121" s="229"/>
    </row>
    <row r="122" spans="1:14">
      <c r="A122" s="196"/>
      <c r="B122" s="197"/>
      <c r="C122" s="197"/>
      <c r="D122" s="197"/>
      <c r="E122" s="547" t="s">
        <v>480</v>
      </c>
      <c r="F122" s="548" t="s">
        <v>66</v>
      </c>
      <c r="G122" s="227">
        <v>87.3</v>
      </c>
      <c r="H122" s="227">
        <v>74.3</v>
      </c>
      <c r="I122" s="227">
        <v>20.5</v>
      </c>
      <c r="J122" s="227">
        <f t="shared" si="36"/>
        <v>13</v>
      </c>
      <c r="K122" s="227">
        <f t="shared" si="37"/>
        <v>53.8</v>
      </c>
      <c r="L122" s="228">
        <f t="shared" si="39"/>
        <v>0.24163568773234201</v>
      </c>
      <c r="M122" s="229"/>
    </row>
    <row r="123" spans="1:14">
      <c r="A123" s="201"/>
      <c r="B123" s="202"/>
      <c r="C123" s="202"/>
      <c r="D123" s="202"/>
      <c r="E123" s="550" t="s">
        <v>779</v>
      </c>
      <c r="F123" s="549" t="s">
        <v>67</v>
      </c>
      <c r="G123" s="260">
        <v>104.2</v>
      </c>
      <c r="H123" s="260">
        <v>87.3</v>
      </c>
      <c r="I123" s="260">
        <v>25.9</v>
      </c>
      <c r="J123" s="260">
        <f t="shared" si="36"/>
        <v>16.900000000000006</v>
      </c>
      <c r="K123" s="260">
        <f t="shared" si="37"/>
        <v>61.4</v>
      </c>
      <c r="L123" s="261">
        <f t="shared" si="39"/>
        <v>0.27524429967426722</v>
      </c>
      <c r="M123" s="26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7"/>
  <sheetViews>
    <sheetView topLeftCell="A4" workbookViewId="0">
      <selection activeCell="F39" sqref="F39"/>
    </sheetView>
  </sheetViews>
  <sheetFormatPr defaultRowHeight="12.75"/>
  <cols>
    <col min="1" max="2" width="9.140625" style="35"/>
    <col min="3" max="4" width="11.42578125" style="35" customWidth="1"/>
    <col min="5" max="5" width="9.140625" style="35"/>
    <col min="6" max="6" width="18.28515625" style="35" customWidth="1"/>
    <col min="7" max="16384" width="9.140625" style="35"/>
  </cols>
  <sheetData>
    <row r="1" spans="1:20">
      <c r="A1" s="163" t="s">
        <v>142</v>
      </c>
      <c r="E1" s="36" t="s">
        <v>143</v>
      </c>
      <c r="F1" s="37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37"/>
      <c r="S1" s="37"/>
    </row>
    <row r="2" spans="1:20"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>
      <c r="F3" s="38"/>
      <c r="P3" s="38"/>
      <c r="Q3" s="38"/>
      <c r="R3" s="38"/>
      <c r="S3" s="38"/>
    </row>
    <row r="4" spans="1:20">
      <c r="A4" s="36" t="s">
        <v>144</v>
      </c>
      <c r="B4" s="39"/>
      <c r="C4" s="39"/>
      <c r="D4" s="39"/>
      <c r="E4" s="36" t="s">
        <v>145</v>
      </c>
      <c r="F4" s="37"/>
      <c r="H4" s="36" t="s">
        <v>147</v>
      </c>
      <c r="K4" s="39"/>
      <c r="O4" s="36"/>
      <c r="P4" s="38"/>
      <c r="Q4" s="38"/>
      <c r="R4" s="38"/>
      <c r="S4" s="38"/>
    </row>
    <row r="5" spans="1:20" s="43" customFormat="1">
      <c r="A5" s="46"/>
      <c r="B5" s="47"/>
      <c r="C5" s="47"/>
      <c r="D5" s="46"/>
      <c r="E5" s="36" t="s">
        <v>146</v>
      </c>
      <c r="F5" s="48"/>
      <c r="G5" s="46"/>
      <c r="H5" s="46"/>
      <c r="I5" s="46"/>
      <c r="J5" s="46"/>
      <c r="L5" s="46"/>
      <c r="N5" s="46"/>
      <c r="O5" s="47"/>
      <c r="P5" s="47"/>
    </row>
    <row r="6" spans="1:20">
      <c r="C6" s="98" t="s">
        <v>111</v>
      </c>
    </row>
    <row r="7" spans="1:20" ht="13.5" thickBot="1"/>
    <row r="8" spans="1:20" ht="13.5" customHeight="1" thickBot="1">
      <c r="A8" s="614" t="s">
        <v>89</v>
      </c>
      <c r="B8" s="614" t="s">
        <v>112</v>
      </c>
      <c r="C8" s="614" t="s">
        <v>110</v>
      </c>
      <c r="D8" s="614" t="s">
        <v>113</v>
      </c>
      <c r="E8" s="614" t="s">
        <v>114</v>
      </c>
      <c r="F8" s="635" t="s">
        <v>115</v>
      </c>
      <c r="G8" s="636"/>
      <c r="H8" s="636"/>
      <c r="I8" s="636"/>
      <c r="J8" s="636"/>
      <c r="K8" s="636"/>
      <c r="L8" s="636"/>
      <c r="M8" s="637"/>
    </row>
    <row r="9" spans="1:20" ht="60" customHeight="1" thickBot="1">
      <c r="A9" s="617"/>
      <c r="B9" s="617"/>
      <c r="C9" s="617"/>
      <c r="D9" s="617"/>
      <c r="E9" s="638"/>
      <c r="F9" s="99" t="s">
        <v>116</v>
      </c>
      <c r="G9" s="100" t="s">
        <v>38</v>
      </c>
      <c r="H9" s="100" t="s">
        <v>39</v>
      </c>
      <c r="I9" s="101" t="s">
        <v>40</v>
      </c>
      <c r="J9" s="100" t="s">
        <v>558</v>
      </c>
      <c r="K9" s="100" t="s">
        <v>554</v>
      </c>
      <c r="L9" s="100" t="s">
        <v>555</v>
      </c>
      <c r="M9" s="101" t="s">
        <v>556</v>
      </c>
    </row>
    <row r="10" spans="1:20" ht="13.5" thickBot="1">
      <c r="A10" s="618"/>
      <c r="B10" s="618"/>
      <c r="C10" s="618"/>
      <c r="D10" s="618"/>
      <c r="E10" s="102" t="s">
        <v>41</v>
      </c>
      <c r="F10" s="103" t="s">
        <v>0</v>
      </c>
      <c r="G10" s="104" t="s">
        <v>0</v>
      </c>
      <c r="H10" s="104" t="s">
        <v>0</v>
      </c>
      <c r="I10" s="104" t="s">
        <v>0</v>
      </c>
      <c r="J10" s="104" t="s">
        <v>557</v>
      </c>
      <c r="K10" s="104" t="s">
        <v>557</v>
      </c>
      <c r="L10" s="104" t="s">
        <v>557</v>
      </c>
      <c r="M10" s="104" t="s">
        <v>557</v>
      </c>
    </row>
    <row r="11" spans="1:20" ht="13.5" thickBot="1">
      <c r="A11" s="42" t="s">
        <v>1</v>
      </c>
      <c r="B11" s="42" t="s">
        <v>2</v>
      </c>
      <c r="C11" s="42" t="s">
        <v>3</v>
      </c>
      <c r="D11" s="97" t="s">
        <v>4</v>
      </c>
      <c r="E11" s="105" t="s">
        <v>5</v>
      </c>
      <c r="F11" s="42" t="s">
        <v>7</v>
      </c>
      <c r="G11" s="42" t="s">
        <v>27</v>
      </c>
      <c r="H11" s="42" t="s">
        <v>8</v>
      </c>
      <c r="I11" s="42" t="s">
        <v>9</v>
      </c>
      <c r="J11" s="42" t="s">
        <v>10</v>
      </c>
      <c r="K11" s="42" t="s">
        <v>11</v>
      </c>
      <c r="L11" s="42" t="s">
        <v>12</v>
      </c>
      <c r="M11" s="42" t="s">
        <v>28</v>
      </c>
    </row>
    <row r="12" spans="1:20" s="40" customFormat="1">
      <c r="A12" s="106"/>
      <c r="B12" s="107">
        <v>1</v>
      </c>
      <c r="C12" s="108">
        <v>1</v>
      </c>
      <c r="D12" s="109" t="s">
        <v>553</v>
      </c>
      <c r="E12" s="110" t="s">
        <v>355</v>
      </c>
      <c r="F12" s="111">
        <v>0.99209999999999998</v>
      </c>
      <c r="G12" s="109">
        <v>5.5E-2</v>
      </c>
      <c r="H12" s="109">
        <v>0.24</v>
      </c>
      <c r="I12" s="50">
        <v>1.0840000000000001</v>
      </c>
      <c r="J12" s="109">
        <v>6.19</v>
      </c>
      <c r="K12" s="111">
        <v>17.399999999999999</v>
      </c>
      <c r="L12" s="109">
        <v>25</v>
      </c>
      <c r="M12" s="50">
        <v>112.7</v>
      </c>
    </row>
    <row r="13" spans="1:20" s="40" customFormat="1">
      <c r="A13" s="56"/>
      <c r="B13" s="76"/>
      <c r="C13" s="71"/>
      <c r="D13" s="70"/>
      <c r="E13" s="112" t="s">
        <v>356</v>
      </c>
      <c r="F13" s="113">
        <v>1.1561999999999999</v>
      </c>
      <c r="G13" s="114">
        <v>4.4999999999999998E-2</v>
      </c>
      <c r="H13" s="114">
        <v>0.77</v>
      </c>
      <c r="I13" s="57">
        <v>0.66200000000000003</v>
      </c>
      <c r="J13" s="70">
        <v>2.81</v>
      </c>
      <c r="K13" s="56">
        <v>12.6</v>
      </c>
      <c r="L13" s="70">
        <v>22</v>
      </c>
      <c r="M13" s="57">
        <v>104.4</v>
      </c>
    </row>
    <row r="14" spans="1:20" s="40" customFormat="1">
      <c r="A14" s="56"/>
      <c r="B14" s="76"/>
      <c r="C14" s="71"/>
      <c r="D14" s="70"/>
      <c r="E14" s="115" t="s">
        <v>357</v>
      </c>
      <c r="F14" s="56">
        <v>0.52470000000000006</v>
      </c>
      <c r="G14" s="70">
        <v>2.1000000000000001E-2</v>
      </c>
      <c r="H14" s="114">
        <v>0.12</v>
      </c>
      <c r="I14" s="116">
        <v>0.42199999999999999</v>
      </c>
      <c r="J14" s="114">
        <v>2.5299999999999998</v>
      </c>
      <c r="K14" s="56">
        <v>7.7</v>
      </c>
      <c r="L14" s="70">
        <v>16</v>
      </c>
      <c r="M14" s="57">
        <v>80.3</v>
      </c>
    </row>
    <row r="15" spans="1:20" s="40" customFormat="1" ht="13.5" thickBot="1">
      <c r="A15" s="64"/>
      <c r="B15" s="117"/>
      <c r="C15" s="118"/>
      <c r="D15" s="119"/>
      <c r="E15" s="120" t="s">
        <v>359</v>
      </c>
      <c r="F15" s="64">
        <v>0.60850000000000004</v>
      </c>
      <c r="G15" s="119">
        <v>0.02</v>
      </c>
      <c r="H15" s="119">
        <v>0.09</v>
      </c>
      <c r="I15" s="65">
        <v>0.39700000000000002</v>
      </c>
      <c r="J15" s="119">
        <v>1.54</v>
      </c>
      <c r="K15" s="64">
        <v>3.8</v>
      </c>
      <c r="L15" s="119">
        <v>6</v>
      </c>
      <c r="M15" s="65">
        <v>80.3</v>
      </c>
    </row>
    <row r="16" spans="1:20" s="40" customFormat="1">
      <c r="A16" s="111"/>
      <c r="B16" s="107">
        <v>1</v>
      </c>
      <c r="C16" s="108">
        <v>2</v>
      </c>
      <c r="D16" s="109" t="s">
        <v>553</v>
      </c>
      <c r="E16" s="110" t="s">
        <v>355</v>
      </c>
      <c r="F16" s="111">
        <v>1.0532999999999999</v>
      </c>
      <c r="G16" s="109">
        <v>6.8000000000000005E-2</v>
      </c>
      <c r="H16" s="121">
        <v>0.17</v>
      </c>
      <c r="I16" s="50">
        <v>1.325</v>
      </c>
      <c r="J16" s="109">
        <v>4.95</v>
      </c>
      <c r="K16" s="111">
        <v>14.5</v>
      </c>
      <c r="L16" s="109">
        <v>23</v>
      </c>
      <c r="M16" s="50">
        <v>132.5</v>
      </c>
    </row>
    <row r="17" spans="1:13" s="40" customFormat="1">
      <c r="A17" s="56"/>
      <c r="B17" s="76"/>
      <c r="C17" s="71"/>
      <c r="D17" s="70"/>
      <c r="E17" s="112" t="s">
        <v>356</v>
      </c>
      <c r="F17" s="56">
        <v>0.76449999999999996</v>
      </c>
      <c r="G17" s="122">
        <v>5.8999999999999997E-2</v>
      </c>
      <c r="H17" s="123">
        <v>0.15</v>
      </c>
      <c r="I17" s="57">
        <v>0.66200000000000003</v>
      </c>
      <c r="J17" s="70">
        <v>2.81</v>
      </c>
      <c r="K17" s="56">
        <v>10.6</v>
      </c>
      <c r="L17" s="70">
        <v>21</v>
      </c>
      <c r="M17" s="57">
        <v>80.3</v>
      </c>
    </row>
    <row r="18" spans="1:13" s="40" customFormat="1">
      <c r="A18" s="56"/>
      <c r="B18" s="76"/>
      <c r="C18" s="71"/>
      <c r="D18" s="70"/>
      <c r="E18" s="115" t="s">
        <v>357</v>
      </c>
      <c r="F18" s="56">
        <v>0.47060000000000002</v>
      </c>
      <c r="G18" s="122">
        <v>3.7999999999999999E-2</v>
      </c>
      <c r="H18" s="122">
        <v>0.1</v>
      </c>
      <c r="I18" s="57">
        <v>0.55400000000000005</v>
      </c>
      <c r="J18" s="70">
        <v>2.81</v>
      </c>
      <c r="K18" s="56">
        <v>7.7</v>
      </c>
      <c r="L18" s="70">
        <v>15</v>
      </c>
      <c r="M18" s="57">
        <v>84.3</v>
      </c>
    </row>
    <row r="19" spans="1:13" s="40" customFormat="1" ht="13.5" thickBot="1">
      <c r="A19" s="64"/>
      <c r="B19" s="117"/>
      <c r="C19" s="118"/>
      <c r="D19" s="119"/>
      <c r="E19" s="120" t="s">
        <v>359</v>
      </c>
      <c r="F19" s="124">
        <v>1.0565</v>
      </c>
      <c r="G19" s="119">
        <v>2.1999999999999999E-2</v>
      </c>
      <c r="H19" s="119">
        <v>0.06</v>
      </c>
      <c r="I19" s="65">
        <v>0.51800000000000002</v>
      </c>
      <c r="J19" s="70">
        <v>2.5299999999999998</v>
      </c>
      <c r="K19" s="56">
        <v>3.8</v>
      </c>
      <c r="L19" s="70">
        <v>6</v>
      </c>
      <c r="M19" s="57">
        <v>101.7</v>
      </c>
    </row>
    <row r="20" spans="1:13" s="40" customFormat="1">
      <c r="A20" s="111"/>
      <c r="B20" s="107">
        <v>1</v>
      </c>
      <c r="C20" s="108">
        <v>3</v>
      </c>
      <c r="D20" s="109" t="s">
        <v>553</v>
      </c>
      <c r="E20" s="110" t="s">
        <v>355</v>
      </c>
      <c r="F20" s="111">
        <v>1.093</v>
      </c>
      <c r="G20" s="109">
        <v>7.0000000000000007E-2</v>
      </c>
      <c r="H20" s="109">
        <v>0.28000000000000003</v>
      </c>
      <c r="I20" s="50">
        <v>0.88300000000000001</v>
      </c>
      <c r="J20" s="109">
        <v>5.35</v>
      </c>
      <c r="K20" s="111">
        <v>14.5</v>
      </c>
      <c r="L20" s="109">
        <v>29</v>
      </c>
      <c r="M20" s="50">
        <v>168.6</v>
      </c>
    </row>
    <row r="21" spans="1:13" s="40" customFormat="1">
      <c r="A21" s="56"/>
      <c r="B21" s="76"/>
      <c r="C21" s="71"/>
      <c r="D21" s="70"/>
      <c r="E21" s="112" t="s">
        <v>356</v>
      </c>
      <c r="F21" s="56">
        <v>0.99</v>
      </c>
      <c r="G21" s="123">
        <v>5.8000000000000003E-2</v>
      </c>
      <c r="H21" s="123">
        <v>0.23</v>
      </c>
      <c r="I21" s="57">
        <v>0.626</v>
      </c>
      <c r="J21" s="70">
        <v>2.81</v>
      </c>
      <c r="K21" s="56">
        <v>14.5</v>
      </c>
      <c r="L21" s="70">
        <v>27</v>
      </c>
      <c r="M21" s="57">
        <v>101.7</v>
      </c>
    </row>
    <row r="22" spans="1:13" s="40" customFormat="1">
      <c r="A22" s="56"/>
      <c r="B22" s="76"/>
      <c r="C22" s="71"/>
      <c r="D22" s="70"/>
      <c r="E22" s="115" t="s">
        <v>357</v>
      </c>
      <c r="F22" s="56">
        <v>1.115</v>
      </c>
      <c r="G22" s="123">
        <v>5.5E-2</v>
      </c>
      <c r="H22" s="123">
        <v>0.16</v>
      </c>
      <c r="I22" s="57">
        <v>0.55400000000000005</v>
      </c>
      <c r="J22" s="70">
        <v>2.5299999999999998</v>
      </c>
      <c r="K22" s="56">
        <v>12.6</v>
      </c>
      <c r="L22" s="70">
        <v>19</v>
      </c>
      <c r="M22" s="57">
        <v>104.4</v>
      </c>
    </row>
    <row r="23" spans="1:13" s="40" customFormat="1" ht="13.5" thickBot="1">
      <c r="A23" s="64"/>
      <c r="B23" s="117"/>
      <c r="C23" s="118"/>
      <c r="D23" s="119"/>
      <c r="E23" s="120" t="s">
        <v>359</v>
      </c>
      <c r="F23" s="64">
        <v>0.628</v>
      </c>
      <c r="G23" s="119">
        <v>3.2000000000000001E-2</v>
      </c>
      <c r="H23" s="119">
        <v>7.0000000000000007E-2</v>
      </c>
      <c r="I23" s="65">
        <v>0.51800000000000002</v>
      </c>
      <c r="J23" s="119">
        <v>1.97</v>
      </c>
      <c r="K23" s="64">
        <v>7.7</v>
      </c>
      <c r="L23" s="119">
        <v>7</v>
      </c>
      <c r="M23" s="65">
        <v>80.3</v>
      </c>
    </row>
    <row r="24" spans="1:13" s="40" customFormat="1">
      <c r="A24" s="106"/>
      <c r="B24" s="107">
        <v>2</v>
      </c>
      <c r="C24" s="108">
        <v>1</v>
      </c>
      <c r="D24" s="109" t="s">
        <v>553</v>
      </c>
      <c r="E24" s="110" t="s">
        <v>355</v>
      </c>
      <c r="F24" s="111">
        <v>0.71599999999999997</v>
      </c>
      <c r="G24" s="121">
        <v>4.2999999999999997E-2</v>
      </c>
      <c r="H24" s="109">
        <v>0.19</v>
      </c>
      <c r="I24" s="50">
        <v>0.84299999999999997</v>
      </c>
      <c r="J24" s="109">
        <v>4.92</v>
      </c>
      <c r="K24" s="111">
        <v>12.6</v>
      </c>
      <c r="L24" s="109">
        <v>17</v>
      </c>
      <c r="M24" s="50">
        <v>132.5</v>
      </c>
    </row>
    <row r="25" spans="1:13" s="40" customFormat="1">
      <c r="A25" s="56"/>
      <c r="B25" s="76"/>
      <c r="C25" s="71"/>
      <c r="D25" s="70"/>
      <c r="E25" s="112" t="s">
        <v>356</v>
      </c>
      <c r="F25" s="56">
        <v>0.72799999999999998</v>
      </c>
      <c r="G25" s="123">
        <v>0.04</v>
      </c>
      <c r="H25" s="123">
        <v>0.17</v>
      </c>
      <c r="I25" s="57">
        <v>0.88300000000000001</v>
      </c>
      <c r="J25" s="70">
        <v>3.21</v>
      </c>
      <c r="K25" s="56">
        <v>10.6</v>
      </c>
      <c r="L25" s="70">
        <v>14</v>
      </c>
      <c r="M25" s="57">
        <v>84.3</v>
      </c>
    </row>
    <row r="26" spans="1:13" s="40" customFormat="1">
      <c r="A26" s="56"/>
      <c r="B26" s="76"/>
      <c r="C26" s="71"/>
      <c r="D26" s="70"/>
      <c r="E26" s="115" t="s">
        <v>357</v>
      </c>
      <c r="F26" s="56">
        <v>0.44</v>
      </c>
      <c r="G26" s="123">
        <v>3.1E-2</v>
      </c>
      <c r="H26" s="123">
        <v>0.13</v>
      </c>
      <c r="I26" s="57">
        <v>0.55400000000000005</v>
      </c>
      <c r="J26" s="70">
        <v>2.5299999999999998</v>
      </c>
      <c r="K26" s="56">
        <v>7.7</v>
      </c>
      <c r="L26" s="70">
        <v>9</v>
      </c>
      <c r="M26" s="57">
        <v>80.3</v>
      </c>
    </row>
    <row r="27" spans="1:13" s="40" customFormat="1" ht="13.5" thickBot="1">
      <c r="A27" s="64"/>
      <c r="B27" s="117"/>
      <c r="C27" s="118"/>
      <c r="D27" s="119"/>
      <c r="E27" s="120" t="s">
        <v>359</v>
      </c>
      <c r="F27" s="64">
        <v>0.33900000000000002</v>
      </c>
      <c r="G27" s="119">
        <v>2.8000000000000001E-2</v>
      </c>
      <c r="H27" s="119">
        <v>7.0000000000000007E-2</v>
      </c>
      <c r="I27" s="65">
        <v>0.51800000000000002</v>
      </c>
      <c r="J27" s="119">
        <v>1.54</v>
      </c>
      <c r="K27" s="64">
        <v>3.8</v>
      </c>
      <c r="L27" s="119">
        <v>6</v>
      </c>
      <c r="M27" s="65">
        <v>80.3</v>
      </c>
    </row>
    <row r="28" spans="1:13" s="40" customFormat="1">
      <c r="A28" s="111"/>
      <c r="B28" s="107">
        <v>2</v>
      </c>
      <c r="C28" s="108">
        <v>2</v>
      </c>
      <c r="D28" s="109" t="s">
        <v>553</v>
      </c>
      <c r="E28" s="110" t="s">
        <v>355</v>
      </c>
      <c r="F28" s="111">
        <v>0.76200000000000001</v>
      </c>
      <c r="G28" s="109">
        <v>4.8000000000000001E-2</v>
      </c>
      <c r="H28" s="121">
        <v>0.19</v>
      </c>
      <c r="I28" s="50">
        <v>0.66200000000000003</v>
      </c>
      <c r="J28" s="109">
        <v>5.63</v>
      </c>
      <c r="K28" s="111">
        <v>14.5</v>
      </c>
      <c r="L28" s="109">
        <v>17</v>
      </c>
      <c r="M28" s="50">
        <v>132.5</v>
      </c>
    </row>
    <row r="29" spans="1:13" s="40" customFormat="1">
      <c r="A29" s="56"/>
      <c r="B29" s="76"/>
      <c r="C29" s="71"/>
      <c r="D29" s="70"/>
      <c r="E29" s="112" t="s">
        <v>356</v>
      </c>
      <c r="F29" s="113">
        <v>0.68799999999999994</v>
      </c>
      <c r="G29" s="123">
        <v>3.9E-2</v>
      </c>
      <c r="H29" s="122">
        <v>0.16</v>
      </c>
      <c r="I29" s="57">
        <v>0.55400000000000005</v>
      </c>
      <c r="J29" s="70">
        <v>3.65</v>
      </c>
      <c r="K29" s="56">
        <v>12.6</v>
      </c>
      <c r="L29" s="70">
        <v>15</v>
      </c>
      <c r="M29" s="57">
        <v>112.7</v>
      </c>
    </row>
    <row r="30" spans="1:13" s="40" customFormat="1">
      <c r="A30" s="56"/>
      <c r="B30" s="76"/>
      <c r="C30" s="71"/>
      <c r="D30" s="70"/>
      <c r="E30" s="115" t="s">
        <v>357</v>
      </c>
      <c r="F30" s="113">
        <v>0.504</v>
      </c>
      <c r="G30" s="122">
        <v>3.4000000000000002E-2</v>
      </c>
      <c r="H30" s="122">
        <v>0.11</v>
      </c>
      <c r="I30" s="57">
        <v>0.55400000000000005</v>
      </c>
      <c r="J30" s="70">
        <v>2.59</v>
      </c>
      <c r="K30" s="56">
        <v>10.6</v>
      </c>
      <c r="L30" s="70">
        <v>7</v>
      </c>
      <c r="M30" s="57">
        <v>104.4</v>
      </c>
    </row>
    <row r="31" spans="1:13" s="40" customFormat="1" ht="13.5" thickBot="1">
      <c r="A31" s="64"/>
      <c r="B31" s="117"/>
      <c r="C31" s="118"/>
      <c r="D31" s="119"/>
      <c r="E31" s="120" t="s">
        <v>359</v>
      </c>
      <c r="F31" s="64">
        <v>0.54200000000000004</v>
      </c>
      <c r="G31" s="119">
        <v>0.03</v>
      </c>
      <c r="H31" s="119">
        <v>7.0000000000000007E-2</v>
      </c>
      <c r="I31" s="65">
        <v>0.51800000000000002</v>
      </c>
      <c r="J31" s="119">
        <v>1.97</v>
      </c>
      <c r="K31" s="64">
        <v>3.8</v>
      </c>
      <c r="L31" s="119">
        <v>6</v>
      </c>
      <c r="M31" s="65">
        <v>80.3</v>
      </c>
    </row>
    <row r="32" spans="1:13" s="40" customFormat="1">
      <c r="A32" s="111"/>
      <c r="B32" s="107">
        <v>2</v>
      </c>
      <c r="C32" s="108">
        <v>3</v>
      </c>
      <c r="D32" s="109" t="s">
        <v>553</v>
      </c>
      <c r="E32" s="110" t="s">
        <v>355</v>
      </c>
      <c r="F32" s="111">
        <v>0.70599999999999996</v>
      </c>
      <c r="G32" s="109">
        <v>0.06</v>
      </c>
      <c r="H32" s="121">
        <v>0.17</v>
      </c>
      <c r="I32" s="50">
        <v>1.325</v>
      </c>
      <c r="J32" s="70">
        <v>5.63</v>
      </c>
      <c r="K32" s="56">
        <v>16.399999999999999</v>
      </c>
      <c r="L32" s="70">
        <v>19</v>
      </c>
      <c r="M32" s="57">
        <v>168.6</v>
      </c>
    </row>
    <row r="33" spans="1:13" s="40" customFormat="1">
      <c r="A33" s="56"/>
      <c r="B33" s="76"/>
      <c r="C33" s="71"/>
      <c r="D33" s="70"/>
      <c r="E33" s="112" t="s">
        <v>356</v>
      </c>
      <c r="F33" s="56">
        <v>0.63</v>
      </c>
      <c r="G33" s="123">
        <v>5.6000000000000001E-2</v>
      </c>
      <c r="H33" s="122">
        <v>0.15</v>
      </c>
      <c r="I33" s="57">
        <v>0.66200000000000003</v>
      </c>
      <c r="J33" s="70">
        <v>3.66</v>
      </c>
      <c r="K33" s="56">
        <v>12.6</v>
      </c>
      <c r="L33" s="70">
        <v>14</v>
      </c>
      <c r="M33" s="57">
        <v>112.7</v>
      </c>
    </row>
    <row r="34" spans="1:13" s="40" customFormat="1">
      <c r="A34" s="56"/>
      <c r="B34" s="76"/>
      <c r="C34" s="71"/>
      <c r="D34" s="70"/>
      <c r="E34" s="115" t="s">
        <v>357</v>
      </c>
      <c r="F34" s="113">
        <v>0.44</v>
      </c>
      <c r="G34" s="123">
        <v>3.1E-2</v>
      </c>
      <c r="H34" s="122">
        <v>0.1</v>
      </c>
      <c r="I34" s="57">
        <v>0.55400000000000005</v>
      </c>
      <c r="J34" s="70">
        <v>2.59</v>
      </c>
      <c r="K34" s="56">
        <v>7.7</v>
      </c>
      <c r="L34" s="70">
        <v>12</v>
      </c>
      <c r="M34" s="57">
        <v>104.4</v>
      </c>
    </row>
    <row r="35" spans="1:13" s="40" customFormat="1" ht="13.5" thickBot="1">
      <c r="A35" s="64"/>
      <c r="B35" s="117"/>
      <c r="C35" s="118"/>
      <c r="D35" s="119"/>
      <c r="E35" s="120" t="s">
        <v>359</v>
      </c>
      <c r="F35" s="124">
        <v>0.5</v>
      </c>
      <c r="G35" s="119">
        <v>0.03</v>
      </c>
      <c r="H35" s="119">
        <v>0.06</v>
      </c>
      <c r="I35" s="65">
        <v>0.55400000000000005</v>
      </c>
      <c r="J35" s="119">
        <v>1.97</v>
      </c>
      <c r="K35" s="64">
        <v>2.9</v>
      </c>
      <c r="L35" s="119">
        <v>7</v>
      </c>
      <c r="M35" s="65">
        <v>84.3</v>
      </c>
    </row>
    <row r="36" spans="1:13" s="40" customFormat="1"/>
    <row r="37" spans="1:13" s="40" customFormat="1"/>
  </sheetData>
  <mergeCells count="6">
    <mergeCell ref="F8:M8"/>
    <mergeCell ref="A8:A10"/>
    <mergeCell ref="B8:B10"/>
    <mergeCell ref="C8:C10"/>
    <mergeCell ref="D8:D10"/>
    <mergeCell ref="E8:E9"/>
  </mergeCells>
  <pageMargins left="0.75" right="0.75" top="1" bottom="1" header="0.5" footer="0.5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P74"/>
  <sheetViews>
    <sheetView workbookViewId="0">
      <selection activeCell="F25" sqref="F25"/>
    </sheetView>
  </sheetViews>
  <sheetFormatPr defaultRowHeight="15"/>
  <cols>
    <col min="1" max="1" width="9.140625" style="231"/>
    <col min="2" max="2" width="10.7109375" style="231" bestFit="1" customWidth="1"/>
    <col min="3" max="3" width="9.140625" style="505"/>
    <col min="4" max="4" width="11.85546875" style="505" customWidth="1"/>
    <col min="5" max="5" width="9.140625" style="231"/>
    <col min="6" max="6" width="14.28515625" style="505" customWidth="1"/>
    <col min="7" max="7" width="9.140625" style="231"/>
    <col min="8" max="8" width="9.140625" style="505"/>
    <col min="9" max="9" width="9.140625" style="231"/>
    <col min="10" max="10" width="13.42578125" style="231" customWidth="1"/>
    <col min="11" max="12" width="9.140625" style="231" customWidth="1"/>
    <col min="13" max="13" width="13.85546875" style="231" customWidth="1"/>
    <col min="14" max="15" width="16.140625" style="231" customWidth="1"/>
    <col min="16" max="16" width="9.140625" style="231"/>
    <col min="17" max="17" width="12" style="231" customWidth="1"/>
    <col min="18" max="31" width="9.140625" style="231"/>
    <col min="32" max="32" width="12" style="231" customWidth="1"/>
    <col min="33" max="46" width="9.140625" style="231"/>
    <col min="47" max="47" width="12" style="231" customWidth="1"/>
    <col min="48" max="16384" width="9.140625" style="231"/>
  </cols>
  <sheetData>
    <row r="1" spans="1:68">
      <c r="B1" s="504">
        <v>42320</v>
      </c>
      <c r="D1" s="536" t="s">
        <v>139</v>
      </c>
      <c r="Q1" s="504">
        <v>42321</v>
      </c>
      <c r="R1" s="505"/>
      <c r="S1" s="506" t="s">
        <v>227</v>
      </c>
      <c r="U1" s="505"/>
      <c r="W1" s="505"/>
      <c r="AF1" s="504">
        <v>42322</v>
      </c>
      <c r="AG1" s="505"/>
      <c r="AH1" s="506" t="s">
        <v>227</v>
      </c>
      <c r="AJ1" s="505"/>
      <c r="AL1" s="505"/>
      <c r="AU1" s="504">
        <v>42323</v>
      </c>
      <c r="AV1" s="505"/>
      <c r="AW1" s="506" t="s">
        <v>227</v>
      </c>
      <c r="AY1" s="505"/>
      <c r="BA1" s="505"/>
    </row>
    <row r="2" spans="1:68" ht="49.5" customHeight="1">
      <c r="B2" s="507" t="s">
        <v>228</v>
      </c>
      <c r="C2" s="507" t="s">
        <v>229</v>
      </c>
      <c r="D2" s="507" t="s">
        <v>230</v>
      </c>
      <c r="E2" s="507" t="s">
        <v>231</v>
      </c>
      <c r="F2" s="507" t="s">
        <v>232</v>
      </c>
      <c r="G2" s="507" t="s">
        <v>233</v>
      </c>
      <c r="H2" s="507" t="s">
        <v>234</v>
      </c>
      <c r="I2" s="507" t="s">
        <v>235</v>
      </c>
      <c r="J2" s="507" t="s">
        <v>236</v>
      </c>
      <c r="K2" s="507" t="s">
        <v>237</v>
      </c>
      <c r="L2" s="507" t="s">
        <v>238</v>
      </c>
      <c r="M2" s="507" t="s">
        <v>239</v>
      </c>
      <c r="N2" s="507" t="s">
        <v>240</v>
      </c>
      <c r="O2" s="507" t="s">
        <v>241</v>
      </c>
      <c r="Q2" s="507" t="s">
        <v>228</v>
      </c>
      <c r="R2" s="507" t="s">
        <v>229</v>
      </c>
      <c r="S2" s="507" t="s">
        <v>230</v>
      </c>
      <c r="T2" s="507" t="s">
        <v>231</v>
      </c>
      <c r="U2" s="507" t="s">
        <v>232</v>
      </c>
      <c r="V2" s="507" t="s">
        <v>233</v>
      </c>
      <c r="W2" s="507" t="s">
        <v>234</v>
      </c>
      <c r="X2" s="507" t="s">
        <v>235</v>
      </c>
      <c r="Y2" s="507" t="s">
        <v>236</v>
      </c>
      <c r="Z2" s="507" t="s">
        <v>237</v>
      </c>
      <c r="AA2" s="507" t="s">
        <v>238</v>
      </c>
      <c r="AB2" s="507" t="s">
        <v>239</v>
      </c>
      <c r="AC2" s="507" t="s">
        <v>240</v>
      </c>
      <c r="AD2" s="507" t="s">
        <v>241</v>
      </c>
      <c r="AF2" s="507" t="s">
        <v>228</v>
      </c>
      <c r="AG2" s="507" t="s">
        <v>229</v>
      </c>
      <c r="AH2" s="507" t="s">
        <v>230</v>
      </c>
      <c r="AI2" s="507" t="s">
        <v>231</v>
      </c>
      <c r="AJ2" s="507" t="s">
        <v>232</v>
      </c>
      <c r="AK2" s="507" t="s">
        <v>233</v>
      </c>
      <c r="AL2" s="507" t="s">
        <v>234</v>
      </c>
      <c r="AM2" s="507" t="s">
        <v>235</v>
      </c>
      <c r="AN2" s="507" t="s">
        <v>236</v>
      </c>
      <c r="AO2" s="507" t="s">
        <v>237</v>
      </c>
      <c r="AP2" s="507" t="s">
        <v>238</v>
      </c>
      <c r="AQ2" s="507" t="s">
        <v>239</v>
      </c>
      <c r="AR2" s="507" t="s">
        <v>240</v>
      </c>
      <c r="AS2" s="507" t="s">
        <v>241</v>
      </c>
      <c r="AU2" s="507" t="s">
        <v>228</v>
      </c>
      <c r="AV2" s="507" t="s">
        <v>229</v>
      </c>
      <c r="AW2" s="507" t="s">
        <v>230</v>
      </c>
      <c r="AX2" s="507" t="s">
        <v>231</v>
      </c>
      <c r="AY2" s="507" t="s">
        <v>232</v>
      </c>
      <c r="AZ2" s="507" t="s">
        <v>233</v>
      </c>
      <c r="BA2" s="507" t="s">
        <v>234</v>
      </c>
      <c r="BB2" s="507" t="s">
        <v>235</v>
      </c>
      <c r="BC2" s="507" t="s">
        <v>236</v>
      </c>
      <c r="BD2" s="507" t="s">
        <v>237</v>
      </c>
      <c r="BE2" s="507" t="s">
        <v>238</v>
      </c>
      <c r="BF2" s="507" t="s">
        <v>239</v>
      </c>
      <c r="BG2" s="507" t="s">
        <v>240</v>
      </c>
      <c r="BH2" s="507" t="s">
        <v>241</v>
      </c>
    </row>
    <row r="3" spans="1:68" ht="49.5" customHeight="1">
      <c r="A3" s="231">
        <v>1</v>
      </c>
      <c r="B3" s="508">
        <v>42349</v>
      </c>
      <c r="C3" s="509">
        <v>1</v>
      </c>
      <c r="D3" s="509">
        <v>1</v>
      </c>
      <c r="E3" s="510"/>
      <c r="F3" s="533" t="s">
        <v>625</v>
      </c>
      <c r="G3" s="511" t="s">
        <v>59</v>
      </c>
      <c r="H3" s="509">
        <v>111.7</v>
      </c>
      <c r="I3" s="509">
        <v>96.6</v>
      </c>
      <c r="J3" s="509">
        <v>22.5</v>
      </c>
      <c r="K3" s="509">
        <f t="shared" ref="K3:L30" si="0">H3-I3</f>
        <v>15.100000000000009</v>
      </c>
      <c r="L3" s="509">
        <f t="shared" si="0"/>
        <v>74.099999999999994</v>
      </c>
      <c r="M3" s="512">
        <f t="shared" ref="M3:M30" si="1">K3/L3</f>
        <v>0.20377867746288811</v>
      </c>
      <c r="N3" s="513">
        <v>1.54</v>
      </c>
      <c r="O3" s="514">
        <f t="shared" ref="O3:O32" si="2">M3*N3</f>
        <v>0.3138191632928477</v>
      </c>
      <c r="P3" s="230">
        <f t="shared" ref="P3:P32" si="3">M3*N3</f>
        <v>0.3138191632928477</v>
      </c>
      <c r="Q3" s="537" t="s">
        <v>676</v>
      </c>
      <c r="R3" s="509">
        <v>1</v>
      </c>
      <c r="S3" s="509">
        <v>1</v>
      </c>
      <c r="T3" s="510"/>
      <c r="U3" s="533" t="s">
        <v>649</v>
      </c>
      <c r="V3" s="511" t="s">
        <v>59</v>
      </c>
      <c r="W3" s="509">
        <v>123.7</v>
      </c>
      <c r="X3" s="509">
        <v>108</v>
      </c>
      <c r="Y3" s="509">
        <v>26.1</v>
      </c>
      <c r="Z3" s="509">
        <f t="shared" ref="Z3:Z4" si="4">W3-X3</f>
        <v>15.700000000000003</v>
      </c>
      <c r="AA3" s="509">
        <f t="shared" ref="AA3:AA4" si="5">X3-Y3</f>
        <v>81.900000000000006</v>
      </c>
      <c r="AB3" s="512">
        <f t="shared" ref="AB3:AB4" si="6">Z3/AA3</f>
        <v>0.19169719169719171</v>
      </c>
      <c r="AC3" s="513">
        <v>1.54</v>
      </c>
      <c r="AD3" s="514">
        <f t="shared" ref="AD3:AD4" si="7">AB3*AC3</f>
        <v>0.29521367521367525</v>
      </c>
      <c r="AF3" s="537" t="s">
        <v>677</v>
      </c>
      <c r="AG3" s="509">
        <v>1</v>
      </c>
      <c r="AH3" s="509">
        <v>1</v>
      </c>
      <c r="AI3" s="510"/>
      <c r="AJ3" s="533" t="s">
        <v>678</v>
      </c>
      <c r="AK3" s="511" t="s">
        <v>59</v>
      </c>
      <c r="AL3" s="509">
        <v>110.8</v>
      </c>
      <c r="AM3" s="509">
        <v>94.9</v>
      </c>
      <c r="AN3" s="509">
        <v>24.1</v>
      </c>
      <c r="AO3" s="509">
        <f t="shared" ref="AO3:AO4" si="8">AL3-AM3</f>
        <v>15.899999999999991</v>
      </c>
      <c r="AP3" s="509">
        <f t="shared" ref="AP3:AP4" si="9">AM3-AN3</f>
        <v>70.800000000000011</v>
      </c>
      <c r="AQ3" s="512">
        <f t="shared" ref="AQ3:AQ4" si="10">AO3/AP3</f>
        <v>0.22457627118644052</v>
      </c>
      <c r="AR3" s="513">
        <v>1.54</v>
      </c>
      <c r="AS3" s="514">
        <f t="shared" ref="AS3:AS4" si="11">AQ3*AR3</f>
        <v>0.34584745762711844</v>
      </c>
      <c r="AU3" s="537" t="s">
        <v>699</v>
      </c>
      <c r="AV3" s="509">
        <v>1</v>
      </c>
      <c r="AW3" s="509">
        <v>1</v>
      </c>
      <c r="AX3" s="510"/>
      <c r="AY3" s="533" t="s">
        <v>700</v>
      </c>
      <c r="AZ3" s="511" t="s">
        <v>59</v>
      </c>
      <c r="BA3" s="509">
        <v>120.4</v>
      </c>
      <c r="BB3" s="509">
        <v>105.7</v>
      </c>
      <c r="BC3" s="509">
        <v>27.3</v>
      </c>
      <c r="BD3" s="509">
        <f t="shared" ref="BD3:BD4" si="12">BA3-BB3</f>
        <v>14.700000000000003</v>
      </c>
      <c r="BE3" s="509">
        <f t="shared" ref="BE3:BE4" si="13">BB3-BC3</f>
        <v>78.400000000000006</v>
      </c>
      <c r="BF3" s="512">
        <f t="shared" ref="BF3:BF4" si="14">BD3/BE3</f>
        <v>0.18750000000000003</v>
      </c>
      <c r="BG3" s="513">
        <v>1.54</v>
      </c>
      <c r="BH3" s="514">
        <f t="shared" ref="BH3:BH4" si="15">BF3*BG3</f>
        <v>0.28875000000000006</v>
      </c>
      <c r="BJ3" s="515">
        <v>0.28881963824289431</v>
      </c>
      <c r="BK3" s="231">
        <v>0.31263303909205559</v>
      </c>
      <c r="BL3" s="231">
        <v>0.31164833333333331</v>
      </c>
      <c r="BM3" s="231">
        <f t="shared" ref="BM3:BN32" si="16">BJ3/BK3*100</f>
        <v>92.382954495686121</v>
      </c>
      <c r="BN3" s="231">
        <f t="shared" si="16"/>
        <v>100.31596695807421</v>
      </c>
      <c r="BO3" s="231">
        <f>AVERAGE(BK3:BL3)</f>
        <v>0.31214068621269442</v>
      </c>
    </row>
    <row r="4" spans="1:68">
      <c r="A4" s="231">
        <v>2</v>
      </c>
      <c r="B4" s="457"/>
      <c r="C4" s="235">
        <v>1</v>
      </c>
      <c r="D4" s="235">
        <v>2</v>
      </c>
      <c r="E4" s="517"/>
      <c r="F4" s="535" t="s">
        <v>549</v>
      </c>
      <c r="G4" s="234" t="s">
        <v>59</v>
      </c>
      <c r="H4" s="235">
        <v>112.9</v>
      </c>
      <c r="I4" s="235">
        <v>96.7</v>
      </c>
      <c r="J4" s="235">
        <v>29.2</v>
      </c>
      <c r="K4" s="509">
        <f t="shared" ref="K4" si="17">H4-I4</f>
        <v>16.200000000000003</v>
      </c>
      <c r="L4" s="509">
        <f t="shared" ref="L4" si="18">I4-J4</f>
        <v>67.5</v>
      </c>
      <c r="M4" s="512">
        <f t="shared" ref="M4" si="19">K4/L4</f>
        <v>0.24000000000000005</v>
      </c>
      <c r="N4" s="513">
        <v>1.54</v>
      </c>
      <c r="O4" s="514">
        <f t="shared" ref="O4" si="20">M4*N4</f>
        <v>0.3696000000000001</v>
      </c>
      <c r="P4" s="520">
        <f t="shared" si="3"/>
        <v>0.3696000000000001</v>
      </c>
      <c r="Q4" s="516"/>
      <c r="R4" s="235">
        <v>1</v>
      </c>
      <c r="S4" s="235">
        <v>2</v>
      </c>
      <c r="T4" s="517"/>
      <c r="U4" s="535" t="s">
        <v>659</v>
      </c>
      <c r="V4" s="234" t="s">
        <v>59</v>
      </c>
      <c r="W4" s="235">
        <v>115.8</v>
      </c>
      <c r="X4" s="235">
        <v>100.1</v>
      </c>
      <c r="Y4" s="235">
        <v>22.7</v>
      </c>
      <c r="Z4" s="509">
        <f t="shared" si="4"/>
        <v>15.700000000000003</v>
      </c>
      <c r="AA4" s="509">
        <f t="shared" si="5"/>
        <v>77.399999999999991</v>
      </c>
      <c r="AB4" s="512">
        <f t="shared" si="6"/>
        <v>0.20284237726098198</v>
      </c>
      <c r="AC4" s="513">
        <v>1.54</v>
      </c>
      <c r="AD4" s="514">
        <f t="shared" si="7"/>
        <v>0.31237726098191226</v>
      </c>
      <c r="AF4" s="538" t="s">
        <v>677</v>
      </c>
      <c r="AG4" s="235">
        <v>1</v>
      </c>
      <c r="AH4" s="235">
        <v>2</v>
      </c>
      <c r="AI4" s="517"/>
      <c r="AJ4" s="535" t="s">
        <v>685</v>
      </c>
      <c r="AK4" s="234" t="s">
        <v>59</v>
      </c>
      <c r="AL4" s="235">
        <v>99.5</v>
      </c>
      <c r="AM4" s="235">
        <v>88.1</v>
      </c>
      <c r="AN4" s="235">
        <v>29.7</v>
      </c>
      <c r="AO4" s="509">
        <f t="shared" si="8"/>
        <v>11.400000000000006</v>
      </c>
      <c r="AP4" s="509">
        <f t="shared" si="9"/>
        <v>58.399999999999991</v>
      </c>
      <c r="AQ4" s="512">
        <f t="shared" si="10"/>
        <v>0.19520547945205491</v>
      </c>
      <c r="AR4" s="513">
        <v>1.54</v>
      </c>
      <c r="AS4" s="514">
        <f t="shared" si="11"/>
        <v>0.30061643835616458</v>
      </c>
      <c r="AU4" s="538" t="s">
        <v>699</v>
      </c>
      <c r="AV4" s="235">
        <v>1</v>
      </c>
      <c r="AW4" s="235">
        <v>2</v>
      </c>
      <c r="AX4" s="517"/>
      <c r="AY4" s="535" t="s">
        <v>702</v>
      </c>
      <c r="AZ4" s="234" t="s">
        <v>59</v>
      </c>
      <c r="BA4" s="235">
        <v>99.6</v>
      </c>
      <c r="BB4" s="235">
        <v>87.9</v>
      </c>
      <c r="BC4" s="235">
        <v>24.4</v>
      </c>
      <c r="BD4" s="509">
        <f t="shared" si="12"/>
        <v>11.699999999999989</v>
      </c>
      <c r="BE4" s="509">
        <f t="shared" si="13"/>
        <v>63.500000000000007</v>
      </c>
      <c r="BF4" s="512">
        <f t="shared" si="14"/>
        <v>0.1842519685039368</v>
      </c>
      <c r="BG4" s="513">
        <v>1.54</v>
      </c>
      <c r="BH4" s="514">
        <f t="shared" si="15"/>
        <v>0.28374803149606265</v>
      </c>
      <c r="BJ4" s="231">
        <v>0.2887168059424326</v>
      </c>
      <c r="BK4" s="231">
        <v>0.33044647387113141</v>
      </c>
      <c r="BL4" s="231">
        <v>0.30717838696861327</v>
      </c>
      <c r="BM4" s="231">
        <f t="shared" si="16"/>
        <v>87.371731512265228</v>
      </c>
      <c r="BN4" s="231">
        <f t="shared" si="16"/>
        <v>107.57477996161742</v>
      </c>
      <c r="BO4" s="231">
        <f>AVERAGE(BJ4:BK4)</f>
        <v>0.309581639906782</v>
      </c>
    </row>
    <row r="5" spans="1:68">
      <c r="A5" s="231">
        <v>3</v>
      </c>
      <c r="B5" s="457"/>
      <c r="C5" s="227">
        <v>1</v>
      </c>
      <c r="D5" s="227">
        <v>3</v>
      </c>
      <c r="E5" s="523"/>
      <c r="F5" s="226"/>
      <c r="G5" s="226" t="s">
        <v>59</v>
      </c>
      <c r="H5" s="227"/>
      <c r="I5" s="227"/>
      <c r="J5" s="227"/>
      <c r="K5" s="227"/>
      <c r="L5" s="227"/>
      <c r="M5" s="228"/>
      <c r="N5" s="521"/>
      <c r="O5" s="519"/>
      <c r="P5" s="520">
        <f t="shared" si="3"/>
        <v>0</v>
      </c>
      <c r="Q5" s="522"/>
      <c r="R5" s="227">
        <v>1</v>
      </c>
      <c r="S5" s="227">
        <v>3</v>
      </c>
      <c r="T5" s="523"/>
      <c r="U5" s="226"/>
      <c r="V5" s="226" t="s">
        <v>59</v>
      </c>
      <c r="W5" s="227"/>
      <c r="X5" s="227"/>
      <c r="Y5" s="227"/>
      <c r="Z5" s="227"/>
      <c r="AA5" s="227"/>
      <c r="AB5" s="228"/>
      <c r="AC5" s="521"/>
      <c r="AD5" s="519"/>
      <c r="AF5" s="522"/>
      <c r="AG5" s="227">
        <v>1</v>
      </c>
      <c r="AH5" s="227">
        <v>3</v>
      </c>
      <c r="AI5" s="523"/>
      <c r="AJ5" s="226"/>
      <c r="AK5" s="226" t="s">
        <v>59</v>
      </c>
      <c r="AL5" s="227"/>
      <c r="AM5" s="227"/>
      <c r="AN5" s="227"/>
      <c r="AO5" s="227"/>
      <c r="AP5" s="227"/>
      <c r="AQ5" s="228"/>
      <c r="AR5" s="521"/>
      <c r="AS5" s="519"/>
      <c r="AU5" s="522"/>
      <c r="AV5" s="227">
        <v>1</v>
      </c>
      <c r="AW5" s="227">
        <v>3</v>
      </c>
      <c r="AX5" s="523"/>
      <c r="AY5" s="226"/>
      <c r="AZ5" s="226" t="s">
        <v>59</v>
      </c>
      <c r="BA5" s="227"/>
      <c r="BB5" s="227"/>
      <c r="BC5" s="227"/>
      <c r="BD5" s="227"/>
      <c r="BE5" s="227"/>
      <c r="BF5" s="228"/>
      <c r="BG5" s="521"/>
      <c r="BH5" s="519"/>
      <c r="BJ5" s="231">
        <v>0.30338694336359717</v>
      </c>
      <c r="BK5" s="231">
        <v>0.29522768092974111</v>
      </c>
      <c r="BL5" s="231">
        <v>0.28755408388520948</v>
      </c>
      <c r="BM5" s="231">
        <f t="shared" si="16"/>
        <v>102.76371863510923</v>
      </c>
      <c r="BN5" s="231">
        <f t="shared" si="16"/>
        <v>102.66857522621551</v>
      </c>
      <c r="BO5" s="231">
        <f>AVERAGE(BJ5:BK5)</f>
        <v>0.29930731214666917</v>
      </c>
    </row>
    <row r="6" spans="1:68">
      <c r="A6" s="231">
        <v>7</v>
      </c>
      <c r="B6" s="457"/>
      <c r="C6" s="227"/>
      <c r="D6" s="227"/>
      <c r="E6" s="523"/>
      <c r="F6" s="534" t="s">
        <v>626</v>
      </c>
      <c r="G6" s="226" t="s">
        <v>262</v>
      </c>
      <c r="H6" s="227">
        <v>87.8</v>
      </c>
      <c r="I6" s="227">
        <v>78.099999999999994</v>
      </c>
      <c r="J6" s="227">
        <v>22.5</v>
      </c>
      <c r="K6" s="227">
        <f t="shared" si="0"/>
        <v>9.7000000000000028</v>
      </c>
      <c r="L6" s="227">
        <f t="shared" si="0"/>
        <v>55.599999999999994</v>
      </c>
      <c r="M6" s="228">
        <f t="shared" si="1"/>
        <v>0.17446043165467634</v>
      </c>
      <c r="N6" s="521">
        <v>1.48</v>
      </c>
      <c r="O6" s="519">
        <f t="shared" si="2"/>
        <v>0.25820143884892099</v>
      </c>
      <c r="P6" s="230">
        <f t="shared" si="3"/>
        <v>0.25820143884892099</v>
      </c>
      <c r="Q6" s="523"/>
      <c r="R6" s="227"/>
      <c r="S6" s="227"/>
      <c r="T6" s="523"/>
      <c r="U6" s="534" t="s">
        <v>650</v>
      </c>
      <c r="V6" s="226" t="s">
        <v>262</v>
      </c>
      <c r="W6" s="227">
        <v>101.2</v>
      </c>
      <c r="X6" s="227">
        <v>91.4</v>
      </c>
      <c r="Y6" s="227">
        <v>26.3</v>
      </c>
      <c r="Z6" s="227">
        <f t="shared" ref="Z6:Z7" si="21">W6-X6</f>
        <v>9.7999999999999972</v>
      </c>
      <c r="AA6" s="227">
        <f t="shared" ref="AA6:AA7" si="22">X6-Y6</f>
        <v>65.100000000000009</v>
      </c>
      <c r="AB6" s="228">
        <f t="shared" ref="AB6:AB7" si="23">Z6/AA6</f>
        <v>0.1505376344086021</v>
      </c>
      <c r="AC6" s="521">
        <v>1.48</v>
      </c>
      <c r="AD6" s="519">
        <f t="shared" ref="AD6:AD7" si="24">AB6*AC6</f>
        <v>0.22279569892473111</v>
      </c>
      <c r="AF6" s="523"/>
      <c r="AG6" s="227"/>
      <c r="AH6" s="227"/>
      <c r="AI6" s="523"/>
      <c r="AJ6" s="534" t="s">
        <v>679</v>
      </c>
      <c r="AK6" s="226" t="s">
        <v>262</v>
      </c>
      <c r="AL6" s="227">
        <v>104</v>
      </c>
      <c r="AM6" s="227">
        <v>92.7</v>
      </c>
      <c r="AN6" s="227">
        <v>23.7</v>
      </c>
      <c r="AO6" s="227">
        <f t="shared" ref="AO6:AO7" si="25">AL6-AM6</f>
        <v>11.299999999999997</v>
      </c>
      <c r="AP6" s="227">
        <f t="shared" ref="AP6:AP7" si="26">AM6-AN6</f>
        <v>69</v>
      </c>
      <c r="AQ6" s="228">
        <f t="shared" ref="AQ6:AQ7" si="27">AO6/AP6</f>
        <v>0.16376811594202895</v>
      </c>
      <c r="AR6" s="521">
        <v>1.48</v>
      </c>
      <c r="AS6" s="519">
        <f t="shared" ref="AS6:AS7" si="28">AQ6*AR6</f>
        <v>0.24237681159420285</v>
      </c>
      <c r="AU6" s="523"/>
      <c r="AV6" s="227"/>
      <c r="AW6" s="227"/>
      <c r="AX6" s="523"/>
      <c r="AY6" s="534" t="s">
        <v>700</v>
      </c>
      <c r="AZ6" s="226" t="s">
        <v>262</v>
      </c>
      <c r="BA6" s="227">
        <v>107.9</v>
      </c>
      <c r="BB6" s="227">
        <v>96.2</v>
      </c>
      <c r="BC6" s="227">
        <v>23.2</v>
      </c>
      <c r="BD6" s="227">
        <f t="shared" ref="BD6:BD7" si="29">BA6-BB6</f>
        <v>11.700000000000003</v>
      </c>
      <c r="BE6" s="227">
        <f t="shared" ref="BE6:BE7" si="30">BB6-BC6</f>
        <v>73</v>
      </c>
      <c r="BF6" s="228">
        <f t="shared" ref="BF6:BF7" si="31">BD6/BE6</f>
        <v>0.16027397260273976</v>
      </c>
      <c r="BG6" s="521">
        <v>1.48</v>
      </c>
      <c r="BH6" s="519">
        <f t="shared" ref="BH6:BH7" si="32">BF6*BG6</f>
        <v>0.23720547945205483</v>
      </c>
      <c r="BJ6" s="231">
        <v>0.28440928270042198</v>
      </c>
      <c r="BK6" s="231">
        <v>0.25623188405797137</v>
      </c>
      <c r="BL6" s="231">
        <v>0.25697674418604655</v>
      </c>
      <c r="BM6" s="231">
        <f t="shared" si="16"/>
        <v>110.99683544303784</v>
      </c>
      <c r="BN6" s="231">
        <f t="shared" si="16"/>
        <v>99.710144927536362</v>
      </c>
      <c r="BO6" s="231">
        <f>AVERAGE(BK6:BL6)</f>
        <v>0.25660431412200896</v>
      </c>
    </row>
    <row r="7" spans="1:68">
      <c r="A7" s="505">
        <v>8</v>
      </c>
      <c r="B7" s="457"/>
      <c r="C7" s="227"/>
      <c r="D7" s="227"/>
      <c r="E7" s="523"/>
      <c r="F7" s="534" t="s">
        <v>634</v>
      </c>
      <c r="G7" s="226" t="s">
        <v>262</v>
      </c>
      <c r="H7" s="227">
        <v>94.8</v>
      </c>
      <c r="I7" s="227">
        <v>83.6</v>
      </c>
      <c r="J7" s="227">
        <v>21.5</v>
      </c>
      <c r="K7" s="227">
        <f t="shared" ref="K7" si="33">H7-I7</f>
        <v>11.200000000000003</v>
      </c>
      <c r="L7" s="227">
        <f t="shared" ref="L7" si="34">I7-J7</f>
        <v>62.099999999999994</v>
      </c>
      <c r="M7" s="228">
        <f t="shared" ref="M7" si="35">K7/L7</f>
        <v>0.1803542673107891</v>
      </c>
      <c r="N7" s="521">
        <v>1.48</v>
      </c>
      <c r="O7" s="519">
        <f t="shared" si="2"/>
        <v>0.26692431561996788</v>
      </c>
      <c r="P7" s="520">
        <f t="shared" si="3"/>
        <v>0.26692431561996788</v>
      </c>
      <c r="Q7" s="523"/>
      <c r="R7" s="227"/>
      <c r="S7" s="227"/>
      <c r="T7" s="523"/>
      <c r="U7" s="534" t="s">
        <v>516</v>
      </c>
      <c r="V7" s="226" t="s">
        <v>262</v>
      </c>
      <c r="W7" s="227">
        <v>95.6</v>
      </c>
      <c r="X7" s="227">
        <v>85.8</v>
      </c>
      <c r="Y7" s="227">
        <v>22.4</v>
      </c>
      <c r="Z7" s="227">
        <f t="shared" si="21"/>
        <v>9.7999999999999972</v>
      </c>
      <c r="AA7" s="227">
        <f t="shared" si="22"/>
        <v>63.4</v>
      </c>
      <c r="AB7" s="228">
        <f t="shared" si="23"/>
        <v>0.15457413249211352</v>
      </c>
      <c r="AC7" s="521">
        <v>1.48</v>
      </c>
      <c r="AD7" s="519">
        <f t="shared" si="24"/>
        <v>0.228769716088328</v>
      </c>
      <c r="AE7" s="505"/>
      <c r="AF7" s="523"/>
      <c r="AG7" s="227"/>
      <c r="AH7" s="227"/>
      <c r="AI7" s="523"/>
      <c r="AJ7" s="534" t="s">
        <v>408</v>
      </c>
      <c r="AK7" s="226" t="s">
        <v>262</v>
      </c>
      <c r="AL7" s="227">
        <v>100.7</v>
      </c>
      <c r="AM7" s="227">
        <v>89.5</v>
      </c>
      <c r="AN7" s="227">
        <v>23.1</v>
      </c>
      <c r="AO7" s="227">
        <f t="shared" si="25"/>
        <v>11.200000000000003</v>
      </c>
      <c r="AP7" s="227">
        <f t="shared" si="26"/>
        <v>66.400000000000006</v>
      </c>
      <c r="AQ7" s="228">
        <f t="shared" si="27"/>
        <v>0.16867469879518074</v>
      </c>
      <c r="AR7" s="521">
        <v>1.48</v>
      </c>
      <c r="AS7" s="519">
        <f t="shared" si="28"/>
        <v>0.24963855421686748</v>
      </c>
      <c r="AT7" s="505"/>
      <c r="AU7" s="523"/>
      <c r="AV7" s="227"/>
      <c r="AW7" s="227"/>
      <c r="AX7" s="523"/>
      <c r="AY7" s="534" t="s">
        <v>275</v>
      </c>
      <c r="AZ7" s="226" t="s">
        <v>262</v>
      </c>
      <c r="BA7" s="227">
        <v>114.2</v>
      </c>
      <c r="BB7" s="227">
        <v>101.8</v>
      </c>
      <c r="BC7" s="227">
        <v>30.2</v>
      </c>
      <c r="BD7" s="227">
        <f t="shared" si="29"/>
        <v>12.400000000000006</v>
      </c>
      <c r="BE7" s="227">
        <f t="shared" si="30"/>
        <v>71.599999999999994</v>
      </c>
      <c r="BF7" s="228">
        <f t="shared" si="31"/>
        <v>0.17318435754189954</v>
      </c>
      <c r="BG7" s="521">
        <v>1.48</v>
      </c>
      <c r="BH7" s="519">
        <f t="shared" si="32"/>
        <v>0.2563128491620113</v>
      </c>
      <c r="BI7" s="505"/>
      <c r="BJ7" s="505">
        <v>0.27509275882704942</v>
      </c>
      <c r="BK7" s="505">
        <v>0.26074455899198162</v>
      </c>
      <c r="BL7" s="505">
        <v>0.2553777777777782</v>
      </c>
      <c r="BM7" s="231">
        <f t="shared" si="16"/>
        <v>105.50278015025005</v>
      </c>
      <c r="BN7" s="231">
        <f t="shared" si="16"/>
        <v>102.10150674068181</v>
      </c>
      <c r="BO7" s="231">
        <f>AVERAGE(BJ7:BK7)</f>
        <v>0.26791865890951549</v>
      </c>
      <c r="BP7" s="505"/>
    </row>
    <row r="8" spans="1:68">
      <c r="A8" s="231">
        <v>9</v>
      </c>
      <c r="B8" s="457"/>
      <c r="C8" s="227"/>
      <c r="D8" s="227"/>
      <c r="E8" s="523"/>
      <c r="F8" s="226"/>
      <c r="G8" s="226" t="s">
        <v>262</v>
      </c>
      <c r="H8" s="227"/>
      <c r="I8" s="227"/>
      <c r="J8" s="227"/>
      <c r="K8" s="227"/>
      <c r="L8" s="227"/>
      <c r="M8" s="228"/>
      <c r="N8" s="521"/>
      <c r="O8" s="519"/>
      <c r="P8" s="520">
        <f t="shared" si="3"/>
        <v>0</v>
      </c>
      <c r="Q8" s="523"/>
      <c r="R8" s="227"/>
      <c r="S8" s="227"/>
      <c r="T8" s="523"/>
      <c r="U8" s="226"/>
      <c r="V8" s="226" t="s">
        <v>262</v>
      </c>
      <c r="W8" s="227"/>
      <c r="X8" s="227"/>
      <c r="Y8" s="227"/>
      <c r="Z8" s="227"/>
      <c r="AA8" s="227"/>
      <c r="AB8" s="228"/>
      <c r="AC8" s="521"/>
      <c r="AD8" s="519"/>
      <c r="AF8" s="523"/>
      <c r="AG8" s="227"/>
      <c r="AH8" s="227"/>
      <c r="AI8" s="523"/>
      <c r="AJ8" s="226"/>
      <c r="AK8" s="226" t="s">
        <v>262</v>
      </c>
      <c r="AL8" s="227"/>
      <c r="AM8" s="227"/>
      <c r="AN8" s="227"/>
      <c r="AO8" s="227"/>
      <c r="AP8" s="227"/>
      <c r="AQ8" s="228"/>
      <c r="AR8" s="521"/>
      <c r="AS8" s="519"/>
      <c r="AU8" s="523"/>
      <c r="AV8" s="227"/>
      <c r="AW8" s="227"/>
      <c r="AX8" s="523"/>
      <c r="AY8" s="226"/>
      <c r="AZ8" s="226" t="s">
        <v>262</v>
      </c>
      <c r="BA8" s="227"/>
      <c r="BB8" s="227"/>
      <c r="BC8" s="227"/>
      <c r="BD8" s="227"/>
      <c r="BE8" s="227"/>
      <c r="BF8" s="228"/>
      <c r="BG8" s="521"/>
      <c r="BH8" s="519"/>
      <c r="BJ8" s="231">
        <v>0.26653266331658287</v>
      </c>
      <c r="BK8" s="231">
        <v>0.29121161362367393</v>
      </c>
      <c r="BL8" s="231">
        <v>0.26436827956989267</v>
      </c>
      <c r="BM8" s="231">
        <f t="shared" si="16"/>
        <v>91.52542372881355</v>
      </c>
      <c r="BN8" s="231">
        <f t="shared" si="16"/>
        <v>110.15376508008197</v>
      </c>
      <c r="BO8" s="231">
        <f>AVERAGE(BJ8:BK8)</f>
        <v>0.27887213847012837</v>
      </c>
    </row>
    <row r="9" spans="1:68" s="505" customFormat="1">
      <c r="A9" s="231">
        <v>13</v>
      </c>
      <c r="B9" s="457"/>
      <c r="C9" s="227"/>
      <c r="D9" s="227"/>
      <c r="E9" s="523"/>
      <c r="F9" s="534" t="s">
        <v>627</v>
      </c>
      <c r="G9" s="226" t="s">
        <v>60</v>
      </c>
      <c r="H9" s="227">
        <v>98.9</v>
      </c>
      <c r="I9" s="227">
        <v>88.4</v>
      </c>
      <c r="J9" s="227">
        <v>29.5</v>
      </c>
      <c r="K9" s="227">
        <f t="shared" si="0"/>
        <v>10.5</v>
      </c>
      <c r="L9" s="227">
        <f t="shared" si="0"/>
        <v>58.900000000000006</v>
      </c>
      <c r="M9" s="228">
        <f t="shared" si="1"/>
        <v>0.17826825127334464</v>
      </c>
      <c r="N9" s="521">
        <v>1.7</v>
      </c>
      <c r="O9" s="519">
        <f t="shared" si="2"/>
        <v>0.30305602716468588</v>
      </c>
      <c r="P9" s="230">
        <f t="shared" si="3"/>
        <v>0.30305602716468588</v>
      </c>
      <c r="Q9" s="515"/>
      <c r="R9" s="227"/>
      <c r="S9" s="227"/>
      <c r="T9" s="523"/>
      <c r="U9" s="534" t="s">
        <v>651</v>
      </c>
      <c r="V9" s="226" t="s">
        <v>60</v>
      </c>
      <c r="W9" s="227">
        <v>102.1</v>
      </c>
      <c r="X9" s="227">
        <v>91.7</v>
      </c>
      <c r="Y9" s="227">
        <v>23.7</v>
      </c>
      <c r="Z9" s="227">
        <f t="shared" ref="Z9:Z10" si="36">W9-X9</f>
        <v>10.399999999999991</v>
      </c>
      <c r="AA9" s="227">
        <f t="shared" ref="AA9:AA10" si="37">X9-Y9</f>
        <v>68</v>
      </c>
      <c r="AB9" s="228">
        <f t="shared" ref="AB9:AB10" si="38">Z9/AA9</f>
        <v>0.15294117647058811</v>
      </c>
      <c r="AC9" s="521">
        <v>1.7</v>
      </c>
      <c r="AD9" s="519">
        <f t="shared" ref="AD9:AD10" si="39">AB9*AC9</f>
        <v>0.25999999999999979</v>
      </c>
      <c r="AE9" s="231"/>
      <c r="AF9" s="515"/>
      <c r="AG9" s="227"/>
      <c r="AH9" s="227"/>
      <c r="AI9" s="523"/>
      <c r="AJ9" s="534" t="s">
        <v>680</v>
      </c>
      <c r="AK9" s="226" t="s">
        <v>60</v>
      </c>
      <c r="AL9" s="227">
        <v>100.3</v>
      </c>
      <c r="AM9" s="227">
        <v>89.4</v>
      </c>
      <c r="AN9" s="227">
        <v>22.3</v>
      </c>
      <c r="AO9" s="227">
        <f t="shared" ref="AO9:AO10" si="40">AL9-AM9</f>
        <v>10.899999999999991</v>
      </c>
      <c r="AP9" s="227">
        <f t="shared" ref="AP9:AP10" si="41">AM9-AN9</f>
        <v>67.100000000000009</v>
      </c>
      <c r="AQ9" s="228">
        <f t="shared" ref="AQ9:AQ10" si="42">AO9/AP9</f>
        <v>0.16244411326378524</v>
      </c>
      <c r="AR9" s="521">
        <v>1.7</v>
      </c>
      <c r="AS9" s="519">
        <f t="shared" ref="AS9:AS10" si="43">AQ9*AR9</f>
        <v>0.2761549925484349</v>
      </c>
      <c r="AT9" s="231"/>
      <c r="AU9" s="515"/>
      <c r="AV9" s="227"/>
      <c r="AW9" s="227"/>
      <c r="AX9" s="523"/>
      <c r="AY9" s="534" t="s">
        <v>415</v>
      </c>
      <c r="AZ9" s="226" t="s">
        <v>60</v>
      </c>
      <c r="BA9" s="227">
        <v>89</v>
      </c>
      <c r="BB9" s="227">
        <v>80.2</v>
      </c>
      <c r="BC9" s="227">
        <v>22.7</v>
      </c>
      <c r="BD9" s="227">
        <f t="shared" ref="BD9:BD10" si="44">BA9-BB9</f>
        <v>8.7999999999999972</v>
      </c>
      <c r="BE9" s="227">
        <f t="shared" ref="BE9:BE10" si="45">BB9-BC9</f>
        <v>57.5</v>
      </c>
      <c r="BF9" s="228">
        <f t="shared" ref="BF9:BF10" si="46">BD9/BE9</f>
        <v>0.1530434782608695</v>
      </c>
      <c r="BG9" s="521">
        <v>1.7</v>
      </c>
      <c r="BH9" s="519">
        <f t="shared" ref="BH9:BH10" si="47">BF9*BG9</f>
        <v>0.26017391304347814</v>
      </c>
      <c r="BI9" s="231"/>
      <c r="BJ9" s="231">
        <v>0.27014729950900168</v>
      </c>
      <c r="BK9" s="231">
        <v>0.28555596330275246</v>
      </c>
      <c r="BL9" s="231">
        <v>0.27103448275862074</v>
      </c>
      <c r="BM9" s="231">
        <f t="shared" si="16"/>
        <v>94.603977582700949</v>
      </c>
      <c r="BN9" s="231">
        <f t="shared" si="16"/>
        <v>105.35779816513767</v>
      </c>
      <c r="BO9" s="231">
        <f>AVERAGE(BK9:BL9)</f>
        <v>0.2782952230306866</v>
      </c>
      <c r="BP9" s="231"/>
    </row>
    <row r="10" spans="1:68">
      <c r="A10" s="231">
        <f>A9+6</f>
        <v>19</v>
      </c>
      <c r="B10" s="457"/>
      <c r="C10" s="227"/>
      <c r="D10" s="227"/>
      <c r="E10" s="523"/>
      <c r="F10" s="534" t="s">
        <v>635</v>
      </c>
      <c r="G10" s="226" t="s">
        <v>60</v>
      </c>
      <c r="H10" s="227">
        <v>107.1</v>
      </c>
      <c r="I10" s="227">
        <v>95.7</v>
      </c>
      <c r="J10" s="227">
        <v>27.6</v>
      </c>
      <c r="K10" s="227">
        <f t="shared" ref="K10" si="48">H10-I10</f>
        <v>11.399999999999991</v>
      </c>
      <c r="L10" s="227">
        <f t="shared" ref="L10" si="49">I10-J10</f>
        <v>68.099999999999994</v>
      </c>
      <c r="M10" s="228">
        <f t="shared" ref="M10" si="50">K10/L10</f>
        <v>0.16740088105726861</v>
      </c>
      <c r="N10" s="521">
        <v>1.7</v>
      </c>
      <c r="O10" s="519">
        <f t="shared" si="2"/>
        <v>0.28458149779735664</v>
      </c>
      <c r="P10" s="520">
        <f t="shared" si="3"/>
        <v>0.28458149779735664</v>
      </c>
      <c r="Q10" s="515"/>
      <c r="R10" s="227"/>
      <c r="S10" s="227"/>
      <c r="T10" s="523"/>
      <c r="U10" s="534" t="s">
        <v>660</v>
      </c>
      <c r="V10" s="226" t="s">
        <v>60</v>
      </c>
      <c r="W10" s="227">
        <v>98.3</v>
      </c>
      <c r="X10" s="227">
        <v>89</v>
      </c>
      <c r="Y10" s="227">
        <v>25.3</v>
      </c>
      <c r="Z10" s="227">
        <f t="shared" si="36"/>
        <v>9.2999999999999972</v>
      </c>
      <c r="AA10" s="227">
        <f t="shared" si="37"/>
        <v>63.7</v>
      </c>
      <c r="AB10" s="228">
        <f t="shared" si="38"/>
        <v>0.14599686028257453</v>
      </c>
      <c r="AC10" s="521">
        <v>1.7</v>
      </c>
      <c r="AD10" s="519">
        <f t="shared" si="39"/>
        <v>0.24819466248037669</v>
      </c>
      <c r="AF10" s="515"/>
      <c r="AG10" s="227"/>
      <c r="AH10" s="227"/>
      <c r="AI10" s="523"/>
      <c r="AJ10" s="534" t="s">
        <v>686</v>
      </c>
      <c r="AK10" s="226" t="s">
        <v>60</v>
      </c>
      <c r="AL10" s="227">
        <v>101.1</v>
      </c>
      <c r="AM10" s="227">
        <v>90.5</v>
      </c>
      <c r="AN10" s="227">
        <v>22.4</v>
      </c>
      <c r="AO10" s="227">
        <f t="shared" si="40"/>
        <v>10.599999999999994</v>
      </c>
      <c r="AP10" s="227">
        <f t="shared" si="41"/>
        <v>68.099999999999994</v>
      </c>
      <c r="AQ10" s="228">
        <f t="shared" si="42"/>
        <v>0.15565345080763576</v>
      </c>
      <c r="AR10" s="521">
        <v>1.7</v>
      </c>
      <c r="AS10" s="519">
        <f t="shared" si="43"/>
        <v>0.26461086637298081</v>
      </c>
      <c r="AU10" s="515"/>
      <c r="AV10" s="227"/>
      <c r="AW10" s="227"/>
      <c r="AX10" s="523"/>
      <c r="AY10" s="534" t="s">
        <v>295</v>
      </c>
      <c r="AZ10" s="226" t="s">
        <v>60</v>
      </c>
      <c r="BA10" s="227">
        <v>107.6</v>
      </c>
      <c r="BB10" s="227">
        <v>98.4</v>
      </c>
      <c r="BC10" s="227">
        <v>24.8</v>
      </c>
      <c r="BD10" s="227">
        <f t="shared" si="44"/>
        <v>9.1999999999999886</v>
      </c>
      <c r="BE10" s="227">
        <f t="shared" si="45"/>
        <v>73.600000000000009</v>
      </c>
      <c r="BF10" s="228">
        <f t="shared" si="46"/>
        <v>0.12499999999999983</v>
      </c>
      <c r="BG10" s="521">
        <v>1.7</v>
      </c>
      <c r="BH10" s="519">
        <f t="shared" si="47"/>
        <v>0.21249999999999972</v>
      </c>
      <c r="BJ10" s="231">
        <v>0.26941877794336816</v>
      </c>
      <c r="BK10" s="231">
        <v>0.28370414201183403</v>
      </c>
      <c r="BL10" s="231">
        <v>0.26084070796460174</v>
      </c>
      <c r="BM10" s="231">
        <f t="shared" si="16"/>
        <v>94.964696684664546</v>
      </c>
      <c r="BN10" s="231">
        <f t="shared" si="16"/>
        <v>108.76528599605513</v>
      </c>
      <c r="BO10" s="231">
        <f>AVERAGE(BJ10:BK10)</f>
        <v>0.27656145997760107</v>
      </c>
    </row>
    <row r="11" spans="1:68">
      <c r="A11" s="231">
        <f>A10+6</f>
        <v>25</v>
      </c>
      <c r="B11" s="457"/>
      <c r="C11" s="227"/>
      <c r="D11" s="227"/>
      <c r="E11" s="523"/>
      <c r="F11" s="226"/>
      <c r="G11" s="226" t="s">
        <v>60</v>
      </c>
      <c r="H11" s="227"/>
      <c r="I11" s="227"/>
      <c r="J11" s="227"/>
      <c r="K11" s="227"/>
      <c r="L11" s="227"/>
      <c r="M11" s="228"/>
      <c r="N11" s="521"/>
      <c r="O11" s="519"/>
      <c r="P11" s="520">
        <f t="shared" si="3"/>
        <v>0</v>
      </c>
      <c r="Q11" s="523"/>
      <c r="R11" s="227"/>
      <c r="S11" s="227"/>
      <c r="T11" s="523"/>
      <c r="U11" s="226"/>
      <c r="V11" s="226" t="s">
        <v>60</v>
      </c>
      <c r="W11" s="227"/>
      <c r="X11" s="227"/>
      <c r="Y11" s="227"/>
      <c r="Z11" s="227"/>
      <c r="AA11" s="227"/>
      <c r="AB11" s="228"/>
      <c r="AC11" s="521"/>
      <c r="AD11" s="519"/>
      <c r="AF11" s="523"/>
      <c r="AG11" s="227"/>
      <c r="AH11" s="227"/>
      <c r="AI11" s="523"/>
      <c r="AJ11" s="226"/>
      <c r="AK11" s="226" t="s">
        <v>60</v>
      </c>
      <c r="AL11" s="227"/>
      <c r="AM11" s="227"/>
      <c r="AN11" s="227"/>
      <c r="AO11" s="227"/>
      <c r="AP11" s="227"/>
      <c r="AQ11" s="228"/>
      <c r="AR11" s="521"/>
      <c r="AS11" s="519"/>
      <c r="AU11" s="523"/>
      <c r="AV11" s="227"/>
      <c r="AW11" s="227"/>
      <c r="AX11" s="523"/>
      <c r="AY11" s="226"/>
      <c r="AZ11" s="226" t="s">
        <v>60</v>
      </c>
      <c r="BA11" s="227"/>
      <c r="BB11" s="227"/>
      <c r="BC11" s="227"/>
      <c r="BD11" s="227"/>
      <c r="BE11" s="227"/>
      <c r="BF11" s="228"/>
      <c r="BG11" s="521"/>
      <c r="BH11" s="519"/>
      <c r="BJ11" s="231">
        <v>0.28605676126878149</v>
      </c>
      <c r="BK11" s="231">
        <v>0.28415920398009925</v>
      </c>
      <c r="BL11" s="231">
        <v>0.27604436229205176</v>
      </c>
      <c r="BM11" s="231">
        <f t="shared" si="16"/>
        <v>100.66777963272135</v>
      </c>
      <c r="BN11" s="231">
        <f t="shared" si="16"/>
        <v>102.93968752727581</v>
      </c>
      <c r="BO11" s="231">
        <f>AVERAGE(BJ11:BK11)</f>
        <v>0.28510798262444037</v>
      </c>
    </row>
    <row r="12" spans="1:68">
      <c r="A12" s="231">
        <f>A42+6</f>
        <v>49</v>
      </c>
      <c r="B12" s="457"/>
      <c r="C12" s="227"/>
      <c r="D12" s="227"/>
      <c r="E12" s="523"/>
      <c r="F12" s="534" t="s">
        <v>628</v>
      </c>
      <c r="G12" s="226" t="s">
        <v>61</v>
      </c>
      <c r="H12" s="227">
        <v>96.3</v>
      </c>
      <c r="I12" s="227">
        <v>86.6</v>
      </c>
      <c r="J12" s="227">
        <v>23</v>
      </c>
      <c r="K12" s="227">
        <f t="shared" si="0"/>
        <v>9.7000000000000028</v>
      </c>
      <c r="L12" s="227">
        <f t="shared" si="0"/>
        <v>63.599999999999994</v>
      </c>
      <c r="M12" s="228">
        <f t="shared" si="1"/>
        <v>0.1525157232704403</v>
      </c>
      <c r="N12" s="521">
        <v>1.69</v>
      </c>
      <c r="O12" s="519">
        <f t="shared" si="2"/>
        <v>0.2577515723270441</v>
      </c>
      <c r="P12" s="230">
        <f t="shared" si="3"/>
        <v>0.2577515723270441</v>
      </c>
      <c r="Q12" s="523"/>
      <c r="R12" s="227"/>
      <c r="S12" s="227"/>
      <c r="T12" s="523"/>
      <c r="U12" s="534" t="s">
        <v>652</v>
      </c>
      <c r="V12" s="226" t="s">
        <v>61</v>
      </c>
      <c r="W12" s="227">
        <v>95.1</v>
      </c>
      <c r="X12" s="227">
        <v>87.7</v>
      </c>
      <c r="Y12" s="227">
        <v>23.3</v>
      </c>
      <c r="Z12" s="227">
        <f t="shared" ref="Z12:Z13" si="51">W12-X12</f>
        <v>7.3999999999999915</v>
      </c>
      <c r="AA12" s="227">
        <f t="shared" ref="AA12:AA13" si="52">X12-Y12</f>
        <v>64.400000000000006</v>
      </c>
      <c r="AB12" s="228">
        <f t="shared" ref="AB12:AB13" si="53">Z12/AA12</f>
        <v>0.1149068322981365</v>
      </c>
      <c r="AC12" s="521">
        <v>1.69</v>
      </c>
      <c r="AD12" s="519">
        <f t="shared" ref="AD12:AD13" si="54">AB12*AC12</f>
        <v>0.19419254658385068</v>
      </c>
      <c r="AF12" s="523"/>
      <c r="AG12" s="227"/>
      <c r="AH12" s="227"/>
      <c r="AI12" s="523"/>
      <c r="AJ12" s="534" t="s">
        <v>681</v>
      </c>
      <c r="AK12" s="226" t="s">
        <v>61</v>
      </c>
      <c r="AL12" s="227">
        <v>82.6</v>
      </c>
      <c r="AM12" s="227">
        <v>75.599999999999994</v>
      </c>
      <c r="AN12" s="227">
        <v>22.7</v>
      </c>
      <c r="AO12" s="227">
        <f t="shared" ref="AO12:AO13" si="55">AL12-AM12</f>
        <v>7</v>
      </c>
      <c r="AP12" s="227">
        <f t="shared" ref="AP12:AP13" si="56">AM12-AN12</f>
        <v>52.899999999999991</v>
      </c>
      <c r="AQ12" s="228">
        <f t="shared" ref="AQ12:AQ13" si="57">AO12/AP12</f>
        <v>0.13232514177693763</v>
      </c>
      <c r="AR12" s="521">
        <v>1.69</v>
      </c>
      <c r="AS12" s="519">
        <f t="shared" ref="AS12:AS13" si="58">AQ12*AR12</f>
        <v>0.22362948960302459</v>
      </c>
      <c r="AU12" s="523"/>
      <c r="AV12" s="227"/>
      <c r="AW12" s="227"/>
      <c r="AX12" s="523"/>
      <c r="AY12" s="534" t="s">
        <v>409</v>
      </c>
      <c r="AZ12" s="226" t="s">
        <v>61</v>
      </c>
      <c r="BA12" s="227">
        <v>90.7</v>
      </c>
      <c r="BB12" s="227">
        <v>82.4</v>
      </c>
      <c r="BC12" s="227">
        <v>24.4</v>
      </c>
      <c r="BD12" s="227">
        <f t="shared" ref="BD12:BD13" si="59">BA12-BB12</f>
        <v>8.2999999999999972</v>
      </c>
      <c r="BE12" s="227">
        <f t="shared" ref="BE12:BE13" si="60">BB12-BC12</f>
        <v>58.000000000000007</v>
      </c>
      <c r="BF12" s="228">
        <f t="shared" ref="BF12:BF13" si="61">BD12/BE12</f>
        <v>0.14310344827586199</v>
      </c>
      <c r="BG12" s="521">
        <v>1.69</v>
      </c>
      <c r="BH12" s="519">
        <f t="shared" ref="BH12:BH13" si="62">BF12*BG12</f>
        <v>0.24184482758620676</v>
      </c>
      <c r="BJ12" s="231">
        <v>0.27243438914027168</v>
      </c>
      <c r="BK12" s="231">
        <v>0.19090456431535238</v>
      </c>
      <c r="BL12" s="231">
        <v>0.21097142857142853</v>
      </c>
      <c r="BM12" s="231">
        <f t="shared" si="16"/>
        <v>142.70711133456265</v>
      </c>
      <c r="BN12" s="231">
        <f t="shared" si="16"/>
        <v>90.488349824449273</v>
      </c>
      <c r="BO12" s="231">
        <f>AVERAGE(BK12:BL12)</f>
        <v>0.20093799644339044</v>
      </c>
    </row>
    <row r="13" spans="1:68">
      <c r="A13" s="231">
        <f>A12+6</f>
        <v>55</v>
      </c>
      <c r="B13" s="457"/>
      <c r="C13" s="227"/>
      <c r="D13" s="227"/>
      <c r="E13" s="523"/>
      <c r="F13" s="534" t="s">
        <v>636</v>
      </c>
      <c r="G13" s="226" t="s">
        <v>61</v>
      </c>
      <c r="H13" s="227">
        <v>113.9</v>
      </c>
      <c r="I13" s="227">
        <v>103.7</v>
      </c>
      <c r="J13" s="227">
        <v>24.7</v>
      </c>
      <c r="K13" s="227">
        <f t="shared" ref="K13" si="63">H13-I13</f>
        <v>10.200000000000003</v>
      </c>
      <c r="L13" s="227">
        <f t="shared" ref="L13" si="64">I13-J13</f>
        <v>79</v>
      </c>
      <c r="M13" s="228">
        <f t="shared" ref="M13" si="65">K13/L13</f>
        <v>0.12911392405063296</v>
      </c>
      <c r="N13" s="521">
        <v>1.69</v>
      </c>
      <c r="O13" s="519">
        <f t="shared" si="2"/>
        <v>0.21820253164556969</v>
      </c>
      <c r="P13" s="520">
        <f t="shared" si="3"/>
        <v>0.21820253164556969</v>
      </c>
      <c r="Q13" s="523"/>
      <c r="R13" s="227"/>
      <c r="S13" s="227"/>
      <c r="T13" s="523"/>
      <c r="U13" s="534" t="s">
        <v>441</v>
      </c>
      <c r="V13" s="226" t="s">
        <v>61</v>
      </c>
      <c r="W13" s="227">
        <v>91.8</v>
      </c>
      <c r="X13" s="227">
        <v>83.3</v>
      </c>
      <c r="Y13" s="227">
        <v>22</v>
      </c>
      <c r="Z13" s="227">
        <f t="shared" si="51"/>
        <v>8.5</v>
      </c>
      <c r="AA13" s="227">
        <f t="shared" si="52"/>
        <v>61.3</v>
      </c>
      <c r="AB13" s="228">
        <f t="shared" si="53"/>
        <v>0.13866231647634586</v>
      </c>
      <c r="AC13" s="521">
        <v>1.69</v>
      </c>
      <c r="AD13" s="519">
        <f t="shared" si="54"/>
        <v>0.23433931484502449</v>
      </c>
      <c r="AF13" s="523"/>
      <c r="AG13" s="227"/>
      <c r="AH13" s="227"/>
      <c r="AI13" s="523"/>
      <c r="AJ13" s="534" t="s">
        <v>321</v>
      </c>
      <c r="AK13" s="226" t="s">
        <v>61</v>
      </c>
      <c r="AL13" s="227">
        <v>96.6</v>
      </c>
      <c r="AM13" s="227">
        <v>87.5</v>
      </c>
      <c r="AN13" s="227">
        <v>22.5</v>
      </c>
      <c r="AO13" s="227">
        <f t="shared" si="55"/>
        <v>9.0999999999999943</v>
      </c>
      <c r="AP13" s="227">
        <f t="shared" si="56"/>
        <v>65</v>
      </c>
      <c r="AQ13" s="228">
        <f t="shared" si="57"/>
        <v>0.1399999999999999</v>
      </c>
      <c r="AR13" s="521">
        <v>1.69</v>
      </c>
      <c r="AS13" s="519">
        <f t="shared" si="58"/>
        <v>0.23659999999999984</v>
      </c>
      <c r="AU13" s="523"/>
      <c r="AV13" s="227"/>
      <c r="AW13" s="227"/>
      <c r="AX13" s="523"/>
      <c r="AY13" s="534" t="s">
        <v>304</v>
      </c>
      <c r="AZ13" s="226" t="s">
        <v>61</v>
      </c>
      <c r="BA13" s="227">
        <v>106.7</v>
      </c>
      <c r="BB13" s="227">
        <v>92.3</v>
      </c>
      <c r="BC13" s="227">
        <v>24.1</v>
      </c>
      <c r="BD13" s="227">
        <f t="shared" si="59"/>
        <v>14.400000000000006</v>
      </c>
      <c r="BE13" s="227">
        <f t="shared" si="60"/>
        <v>68.199999999999989</v>
      </c>
      <c r="BF13" s="228">
        <f t="shared" si="61"/>
        <v>0.21114369501466287</v>
      </c>
      <c r="BG13" s="521">
        <v>1.69</v>
      </c>
      <c r="BH13" s="519">
        <f t="shared" si="62"/>
        <v>0.35683284457478026</v>
      </c>
      <c r="BJ13" s="231">
        <v>0.22123029366306002</v>
      </c>
      <c r="BK13" s="231">
        <v>0.22643243243243266</v>
      </c>
      <c r="BL13" s="231">
        <v>5.1978779840849067E-2</v>
      </c>
      <c r="BM13" s="231">
        <f t="shared" si="16"/>
        <v>97.702564639928539</v>
      </c>
      <c r="BN13" s="231">
        <f t="shared" si="16"/>
        <v>435.62475518997087</v>
      </c>
      <c r="BO13" s="231">
        <f>AVERAGE(BJ13:BK13)</f>
        <v>0.22383136304774634</v>
      </c>
    </row>
    <row r="14" spans="1:68">
      <c r="A14" s="231">
        <f>A13+6</f>
        <v>61</v>
      </c>
      <c r="B14" s="523"/>
      <c r="C14" s="227"/>
      <c r="D14" s="227"/>
      <c r="E14" s="523"/>
      <c r="F14" s="226"/>
      <c r="G14" s="226" t="s">
        <v>61</v>
      </c>
      <c r="H14" s="227"/>
      <c r="I14" s="227"/>
      <c r="J14" s="227"/>
      <c r="K14" s="227"/>
      <c r="L14" s="227"/>
      <c r="M14" s="228"/>
      <c r="N14" s="521"/>
      <c r="O14" s="524"/>
      <c r="P14" s="520">
        <f t="shared" si="3"/>
        <v>0</v>
      </c>
      <c r="Q14" s="523"/>
      <c r="R14" s="227"/>
      <c r="S14" s="227"/>
      <c r="T14" s="523"/>
      <c r="U14" s="226"/>
      <c r="V14" s="226" t="s">
        <v>61</v>
      </c>
      <c r="W14" s="227"/>
      <c r="X14" s="227"/>
      <c r="Y14" s="227"/>
      <c r="Z14" s="227"/>
      <c r="AA14" s="227"/>
      <c r="AB14" s="228"/>
      <c r="AC14" s="521"/>
      <c r="AD14" s="524"/>
      <c r="AF14" s="523"/>
      <c r="AG14" s="227"/>
      <c r="AH14" s="227"/>
      <c r="AI14" s="523"/>
      <c r="AJ14" s="226"/>
      <c r="AK14" s="226" t="s">
        <v>61</v>
      </c>
      <c r="AL14" s="227"/>
      <c r="AM14" s="227"/>
      <c r="AN14" s="227"/>
      <c r="AO14" s="227"/>
      <c r="AP14" s="227"/>
      <c r="AQ14" s="228"/>
      <c r="AR14" s="521"/>
      <c r="AS14" s="524"/>
      <c r="AU14" s="523"/>
      <c r="AV14" s="227"/>
      <c r="AW14" s="227"/>
      <c r="AX14" s="523"/>
      <c r="AY14" s="226"/>
      <c r="AZ14" s="226" t="s">
        <v>61</v>
      </c>
      <c r="BA14" s="227"/>
      <c r="BB14" s="227"/>
      <c r="BC14" s="227"/>
      <c r="BD14" s="227"/>
      <c r="BE14" s="227"/>
      <c r="BF14" s="228"/>
      <c r="BG14" s="521"/>
      <c r="BH14" s="524"/>
      <c r="BJ14" s="523">
        <v>0.24542062193126013</v>
      </c>
      <c r="BK14" s="231">
        <v>0.21868000000000007</v>
      </c>
      <c r="BL14" s="231">
        <v>0.25217758985200844</v>
      </c>
      <c r="BM14" s="231">
        <f t="shared" si="16"/>
        <v>112.22819733458023</v>
      </c>
      <c r="BN14" s="231">
        <f t="shared" si="16"/>
        <v>86.716666666666697</v>
      </c>
      <c r="BO14" s="231">
        <f>AVERAGE(BJ14:BK14)</f>
        <v>0.23205031096563011</v>
      </c>
    </row>
    <row r="15" spans="1:68">
      <c r="A15" s="231">
        <f>A45+6</f>
        <v>85</v>
      </c>
      <c r="B15" s="525"/>
      <c r="C15" s="227"/>
      <c r="D15" s="227"/>
      <c r="E15" s="523"/>
      <c r="F15" s="534" t="s">
        <v>629</v>
      </c>
      <c r="G15" s="226" t="s">
        <v>62</v>
      </c>
      <c r="H15" s="227">
        <v>92.1</v>
      </c>
      <c r="I15" s="227">
        <v>85</v>
      </c>
      <c r="J15" s="227">
        <v>25.3</v>
      </c>
      <c r="K15" s="227">
        <f t="shared" si="0"/>
        <v>7.0999999999999943</v>
      </c>
      <c r="L15" s="227">
        <f t="shared" si="0"/>
        <v>59.7</v>
      </c>
      <c r="M15" s="228">
        <f t="shared" si="1"/>
        <v>0.11892797319932988</v>
      </c>
      <c r="N15" s="521">
        <v>1.64</v>
      </c>
      <c r="O15" s="519">
        <f t="shared" si="2"/>
        <v>0.19504187604690099</v>
      </c>
      <c r="P15" s="230">
        <f t="shared" si="3"/>
        <v>0.19504187604690099</v>
      </c>
      <c r="Q15" s="525"/>
      <c r="R15" s="227"/>
      <c r="S15" s="227"/>
      <c r="T15" s="523"/>
      <c r="U15" s="534" t="s">
        <v>653</v>
      </c>
      <c r="V15" s="226" t="s">
        <v>62</v>
      </c>
      <c r="W15" s="227">
        <v>88</v>
      </c>
      <c r="X15" s="227">
        <v>82.2</v>
      </c>
      <c r="Y15" s="227">
        <v>23.1</v>
      </c>
      <c r="Z15" s="227">
        <f t="shared" ref="Z15:Z16" si="66">W15-X15</f>
        <v>5.7999999999999972</v>
      </c>
      <c r="AA15" s="227">
        <f t="shared" ref="AA15:AA16" si="67">X15-Y15</f>
        <v>59.1</v>
      </c>
      <c r="AB15" s="228">
        <f t="shared" ref="AB15:AB16" si="68">Z15/AA15</f>
        <v>9.813874788494073E-2</v>
      </c>
      <c r="AC15" s="521">
        <v>1.64</v>
      </c>
      <c r="AD15" s="519">
        <f t="shared" ref="AD15:AD16" si="69">AB15*AC15</f>
        <v>0.16094754653130278</v>
      </c>
      <c r="AF15" s="525"/>
      <c r="AG15" s="227"/>
      <c r="AH15" s="227"/>
      <c r="AI15" s="523"/>
      <c r="AJ15" s="534" t="s">
        <v>420</v>
      </c>
      <c r="AK15" s="226" t="s">
        <v>62</v>
      </c>
      <c r="AL15" s="227">
        <v>92.9</v>
      </c>
      <c r="AM15" s="227">
        <v>84.7</v>
      </c>
      <c r="AN15" s="227">
        <v>22</v>
      </c>
      <c r="AO15" s="227">
        <f t="shared" ref="AO15:AO16" si="70">AL15-AM15</f>
        <v>8.2000000000000028</v>
      </c>
      <c r="AP15" s="227">
        <f t="shared" ref="AP15:AP16" si="71">AM15-AN15</f>
        <v>62.7</v>
      </c>
      <c r="AQ15" s="228">
        <f t="shared" ref="AQ15:AQ16" si="72">AO15/AP15</f>
        <v>0.13078149920255186</v>
      </c>
      <c r="AR15" s="521">
        <v>1.64</v>
      </c>
      <c r="AS15" s="519">
        <f t="shared" ref="AS15:AS16" si="73">AQ15*AR15</f>
        <v>0.21448165869218502</v>
      </c>
      <c r="AU15" s="525"/>
      <c r="AV15" s="227"/>
      <c r="AW15" s="227"/>
      <c r="AX15" s="523"/>
      <c r="AY15" s="534" t="s">
        <v>480</v>
      </c>
      <c r="AZ15" s="226" t="s">
        <v>62</v>
      </c>
      <c r="BA15" s="227">
        <v>92.7</v>
      </c>
      <c r="BB15" s="227">
        <v>84.7</v>
      </c>
      <c r="BC15" s="227">
        <v>20.399999999999999</v>
      </c>
      <c r="BD15" s="227">
        <f t="shared" ref="BD15:BD16" si="74">BA15-BB15</f>
        <v>8</v>
      </c>
      <c r="BE15" s="227">
        <f t="shared" ref="BE15:BE16" si="75">BB15-BC15</f>
        <v>64.300000000000011</v>
      </c>
      <c r="BF15" s="228">
        <f t="shared" ref="BF15:BF16" si="76">BD15/BE15</f>
        <v>0.12441679626749609</v>
      </c>
      <c r="BG15" s="521">
        <v>1.64</v>
      </c>
      <c r="BH15" s="519">
        <f t="shared" ref="BH15:BH16" si="77">BF15*BG15</f>
        <v>0.20404354587869358</v>
      </c>
      <c r="BJ15" s="231">
        <v>0.12775438596491248</v>
      </c>
      <c r="BK15" s="231">
        <v>0.12186719263642343</v>
      </c>
      <c r="BL15" s="231">
        <v>7.8542372881356029E-2</v>
      </c>
      <c r="BM15" s="231">
        <f t="shared" si="16"/>
        <v>104.83082706766933</v>
      </c>
      <c r="BN15" s="231">
        <f t="shared" si="16"/>
        <v>155.16107823800115</v>
      </c>
      <c r="BO15" s="231">
        <f>AVERAGE(BJ15:BK15)</f>
        <v>0.12481078930066795</v>
      </c>
    </row>
    <row r="16" spans="1:68">
      <c r="A16" s="231">
        <f>A15+6</f>
        <v>91</v>
      </c>
      <c r="B16" s="525"/>
      <c r="C16" s="227"/>
      <c r="D16" s="227"/>
      <c r="E16" s="523"/>
      <c r="F16" s="534" t="s">
        <v>637</v>
      </c>
      <c r="G16" s="226" t="s">
        <v>62</v>
      </c>
      <c r="H16" s="227">
        <v>91.9</v>
      </c>
      <c r="I16" s="227">
        <v>84.2</v>
      </c>
      <c r="J16" s="227">
        <v>20.7</v>
      </c>
      <c r="K16" s="227">
        <f t="shared" ref="K16" si="78">H16-I16</f>
        <v>7.7000000000000028</v>
      </c>
      <c r="L16" s="227">
        <f t="shared" ref="L16" si="79">I16-J16</f>
        <v>63.5</v>
      </c>
      <c r="M16" s="228">
        <f t="shared" ref="M16" si="80">K16/L16</f>
        <v>0.12125984251968508</v>
      </c>
      <c r="N16" s="521">
        <v>1.64</v>
      </c>
      <c r="O16" s="519">
        <f t="shared" si="2"/>
        <v>0.19886614173228351</v>
      </c>
      <c r="P16" s="520">
        <f t="shared" si="3"/>
        <v>0.19886614173228351</v>
      </c>
      <c r="Q16" s="525"/>
      <c r="R16" s="227"/>
      <c r="S16" s="227"/>
      <c r="T16" s="523"/>
      <c r="U16" s="534" t="s">
        <v>661</v>
      </c>
      <c r="V16" s="226" t="s">
        <v>62</v>
      </c>
      <c r="W16" s="227">
        <v>108.4</v>
      </c>
      <c r="X16" s="227">
        <v>99.3</v>
      </c>
      <c r="Y16" s="227">
        <v>26</v>
      </c>
      <c r="Z16" s="227">
        <f t="shared" si="66"/>
        <v>9.1000000000000085</v>
      </c>
      <c r="AA16" s="227">
        <f t="shared" si="67"/>
        <v>73.3</v>
      </c>
      <c r="AB16" s="228">
        <f t="shared" si="68"/>
        <v>0.12414733969986369</v>
      </c>
      <c r="AC16" s="521">
        <v>1.64</v>
      </c>
      <c r="AD16" s="519">
        <f t="shared" si="69"/>
        <v>0.20360163710777643</v>
      </c>
      <c r="AF16" s="525"/>
      <c r="AG16" s="227"/>
      <c r="AH16" s="227"/>
      <c r="AI16" s="523"/>
      <c r="AJ16" s="534" t="s">
        <v>687</v>
      </c>
      <c r="AK16" s="226" t="s">
        <v>62</v>
      </c>
      <c r="AL16" s="227">
        <v>90.3</v>
      </c>
      <c r="AM16" s="227">
        <v>83</v>
      </c>
      <c r="AN16" s="227">
        <v>23.6</v>
      </c>
      <c r="AO16" s="227">
        <f t="shared" si="70"/>
        <v>7.2999999999999972</v>
      </c>
      <c r="AP16" s="227">
        <f t="shared" si="71"/>
        <v>59.4</v>
      </c>
      <c r="AQ16" s="228">
        <f t="shared" si="72"/>
        <v>0.12289562289562285</v>
      </c>
      <c r="AR16" s="521">
        <v>1.64</v>
      </c>
      <c r="AS16" s="519">
        <f t="shared" si="73"/>
        <v>0.20154882154882145</v>
      </c>
      <c r="AU16" s="525"/>
      <c r="AV16" s="227"/>
      <c r="AW16" s="227"/>
      <c r="AX16" s="523"/>
      <c r="AY16" s="534" t="s">
        <v>319</v>
      </c>
      <c r="AZ16" s="226" t="s">
        <v>62</v>
      </c>
      <c r="BA16" s="227">
        <v>98.3</v>
      </c>
      <c r="BB16" s="227">
        <v>91.1</v>
      </c>
      <c r="BC16" s="227">
        <v>26.9</v>
      </c>
      <c r="BD16" s="227">
        <f t="shared" si="74"/>
        <v>7.2000000000000028</v>
      </c>
      <c r="BE16" s="227">
        <f t="shared" si="75"/>
        <v>64.199999999999989</v>
      </c>
      <c r="BF16" s="228">
        <f t="shared" si="76"/>
        <v>0.11214953271028044</v>
      </c>
      <c r="BG16" s="521">
        <v>1.64</v>
      </c>
      <c r="BH16" s="519">
        <f t="shared" si="77"/>
        <v>0.18392523364485991</v>
      </c>
      <c r="BJ16" s="231">
        <v>0.14350788288288291</v>
      </c>
      <c r="BK16" s="231">
        <v>0.12872222222222224</v>
      </c>
      <c r="BL16" s="231">
        <v>0.11950999355254677</v>
      </c>
      <c r="BM16" s="231">
        <f t="shared" si="16"/>
        <v>111.48648648648648</v>
      </c>
      <c r="BN16" s="231">
        <f t="shared" si="16"/>
        <v>107.70833333333331</v>
      </c>
      <c r="BO16" s="231">
        <f>AVERAGE(BJ16:BK16)</f>
        <v>0.13611505255255257</v>
      </c>
    </row>
    <row r="17" spans="1:68">
      <c r="A17" s="231">
        <f>A16+6</f>
        <v>97</v>
      </c>
      <c r="B17" s="525"/>
      <c r="C17" s="227"/>
      <c r="D17" s="227"/>
      <c r="E17" s="523"/>
      <c r="F17" s="226"/>
      <c r="G17" s="226" t="s">
        <v>62</v>
      </c>
      <c r="H17" s="227"/>
      <c r="I17" s="227"/>
      <c r="J17" s="227"/>
      <c r="K17" s="227"/>
      <c r="L17" s="227"/>
      <c r="M17" s="228"/>
      <c r="N17" s="521"/>
      <c r="O17" s="519"/>
      <c r="P17" s="520">
        <f t="shared" si="3"/>
        <v>0</v>
      </c>
      <c r="Q17" s="525"/>
      <c r="R17" s="227"/>
      <c r="S17" s="227"/>
      <c r="T17" s="523"/>
      <c r="U17" s="226"/>
      <c r="V17" s="226" t="s">
        <v>62</v>
      </c>
      <c r="W17" s="227"/>
      <c r="X17" s="227"/>
      <c r="Y17" s="227"/>
      <c r="Z17" s="227"/>
      <c r="AA17" s="227"/>
      <c r="AB17" s="228"/>
      <c r="AC17" s="521"/>
      <c r="AD17" s="519"/>
      <c r="AF17" s="525"/>
      <c r="AG17" s="227"/>
      <c r="AH17" s="227"/>
      <c r="AI17" s="523"/>
      <c r="AJ17" s="226"/>
      <c r="AK17" s="226" t="s">
        <v>62</v>
      </c>
      <c r="AL17" s="227"/>
      <c r="AM17" s="227"/>
      <c r="AN17" s="227"/>
      <c r="AO17" s="227"/>
      <c r="AP17" s="227"/>
      <c r="AQ17" s="228"/>
      <c r="AR17" s="521"/>
      <c r="AS17" s="519"/>
      <c r="AU17" s="525"/>
      <c r="AV17" s="227"/>
      <c r="AW17" s="227"/>
      <c r="AX17" s="523"/>
      <c r="AY17" s="226"/>
      <c r="AZ17" s="226" t="s">
        <v>62</v>
      </c>
      <c r="BA17" s="227"/>
      <c r="BB17" s="227"/>
      <c r="BC17" s="227"/>
      <c r="BD17" s="227"/>
      <c r="BE17" s="227"/>
      <c r="BF17" s="228"/>
      <c r="BG17" s="521"/>
      <c r="BH17" s="519"/>
      <c r="BJ17" s="231">
        <v>0.13310754843019409</v>
      </c>
      <c r="BK17" s="231">
        <v>0.10745507246376823</v>
      </c>
      <c r="BL17" s="231">
        <v>0.19645998940116588</v>
      </c>
      <c r="BM17" s="231">
        <f t="shared" si="16"/>
        <v>123.87274549098217</v>
      </c>
      <c r="BN17" s="231">
        <f t="shared" si="16"/>
        <v>54.695652173913103</v>
      </c>
      <c r="BO17" s="231">
        <f>AVERAGE(BJ17:BK17)</f>
        <v>0.12028131044698116</v>
      </c>
    </row>
    <row r="18" spans="1:68">
      <c r="A18" s="231">
        <f>A48+6</f>
        <v>121</v>
      </c>
      <c r="B18" s="523"/>
      <c r="C18" s="227"/>
      <c r="D18" s="227"/>
      <c r="E18" s="523"/>
      <c r="F18" s="534" t="s">
        <v>630</v>
      </c>
      <c r="G18" s="227" t="s">
        <v>63</v>
      </c>
      <c r="H18" s="227">
        <v>89.6</v>
      </c>
      <c r="I18" s="227">
        <v>81</v>
      </c>
      <c r="J18" s="227">
        <v>21.7</v>
      </c>
      <c r="K18" s="227">
        <f t="shared" si="0"/>
        <v>8.5999999999999943</v>
      </c>
      <c r="L18" s="227">
        <f t="shared" si="0"/>
        <v>59.3</v>
      </c>
      <c r="M18" s="228">
        <f t="shared" si="1"/>
        <v>0.14502529510961204</v>
      </c>
      <c r="N18" s="521">
        <v>1.64</v>
      </c>
      <c r="O18" s="519">
        <f t="shared" si="2"/>
        <v>0.23784148397976373</v>
      </c>
      <c r="P18" s="520">
        <f t="shared" si="3"/>
        <v>0.23784148397976373</v>
      </c>
      <c r="Q18" s="523"/>
      <c r="R18" s="227"/>
      <c r="S18" s="227"/>
      <c r="T18" s="523"/>
      <c r="U18" s="534" t="s">
        <v>654</v>
      </c>
      <c r="V18" s="227" t="s">
        <v>63</v>
      </c>
      <c r="W18" s="227">
        <v>100.4</v>
      </c>
      <c r="X18" s="227">
        <v>88.5</v>
      </c>
      <c r="Y18" s="227">
        <v>24.1</v>
      </c>
      <c r="Z18" s="227">
        <f t="shared" ref="Z18:Z19" si="81">W18-X18</f>
        <v>11.900000000000006</v>
      </c>
      <c r="AA18" s="227">
        <f t="shared" ref="AA18:AA19" si="82">X18-Y18</f>
        <v>64.400000000000006</v>
      </c>
      <c r="AB18" s="228">
        <f t="shared" ref="AB18:AB19" si="83">Z18/AA18</f>
        <v>0.18478260869565225</v>
      </c>
      <c r="AC18" s="521">
        <v>1.64</v>
      </c>
      <c r="AD18" s="519">
        <f t="shared" ref="AD18:AD19" si="84">AB18*AC18</f>
        <v>0.30304347826086964</v>
      </c>
      <c r="AF18" s="523"/>
      <c r="AG18" s="227"/>
      <c r="AH18" s="227"/>
      <c r="AI18" s="523"/>
      <c r="AJ18" s="534" t="s">
        <v>682</v>
      </c>
      <c r="AK18" s="227" t="s">
        <v>63</v>
      </c>
      <c r="AL18" s="227">
        <v>95.5</v>
      </c>
      <c r="AM18" s="227">
        <v>84.4</v>
      </c>
      <c r="AN18" s="227">
        <v>22.9</v>
      </c>
      <c r="AO18" s="227">
        <f t="shared" ref="AO18:AO19" si="85">AL18-AM18</f>
        <v>11.099999999999994</v>
      </c>
      <c r="AP18" s="227">
        <f t="shared" ref="AP18:AP19" si="86">AM18-AN18</f>
        <v>61.500000000000007</v>
      </c>
      <c r="AQ18" s="228">
        <f t="shared" ref="AQ18:AQ19" si="87">AO18/AP18</f>
        <v>0.18048780487804866</v>
      </c>
      <c r="AR18" s="521">
        <v>1.64</v>
      </c>
      <c r="AS18" s="519">
        <f t="shared" ref="AS18:AS19" si="88">AQ18*AR18</f>
        <v>0.29599999999999976</v>
      </c>
      <c r="AU18" s="523"/>
      <c r="AV18" s="227"/>
      <c r="AW18" s="227"/>
      <c r="AX18" s="523"/>
      <c r="AY18" s="534" t="s">
        <v>701</v>
      </c>
      <c r="AZ18" s="227" t="s">
        <v>63</v>
      </c>
      <c r="BA18" s="227">
        <v>91.6</v>
      </c>
      <c r="BB18" s="227">
        <v>83.8</v>
      </c>
      <c r="BC18" s="227">
        <v>26.6</v>
      </c>
      <c r="BD18" s="227">
        <f t="shared" ref="BD18:BD19" si="89">BA18-BB18</f>
        <v>7.7999999999999972</v>
      </c>
      <c r="BE18" s="227">
        <f t="shared" ref="BE18:BE19" si="90">BB18-BC18</f>
        <v>57.199999999999996</v>
      </c>
      <c r="BF18" s="228">
        <f t="shared" ref="BF18:BF19" si="91">BD18/BE18</f>
        <v>0.13636363636363633</v>
      </c>
      <c r="BG18" s="521">
        <v>1.64</v>
      </c>
      <c r="BH18" s="519">
        <f t="shared" ref="BH18:BH19" si="92">BF18*BG18</f>
        <v>0.22363636363636355</v>
      </c>
      <c r="BJ18" s="523">
        <v>0.1507520661157023</v>
      </c>
      <c r="BK18" s="231">
        <v>0.13315728715728706</v>
      </c>
      <c r="BL18" s="231">
        <v>0.14281611208406272</v>
      </c>
      <c r="BM18" s="231">
        <f t="shared" si="16"/>
        <v>113.21353065539105</v>
      </c>
      <c r="BN18" s="231">
        <f t="shared" si="16"/>
        <v>93.236880078985479</v>
      </c>
      <c r="BO18" s="231">
        <f>AVERAGE(BK18:BL18)</f>
        <v>0.13798669962067489</v>
      </c>
    </row>
    <row r="19" spans="1:68">
      <c r="A19" s="231">
        <f>A18+6</f>
        <v>127</v>
      </c>
      <c r="B19" s="526"/>
      <c r="C19" s="235"/>
      <c r="D19" s="235"/>
      <c r="E19" s="517"/>
      <c r="F19" s="535" t="s">
        <v>638</v>
      </c>
      <c r="G19" s="235" t="s">
        <v>63</v>
      </c>
      <c r="H19" s="235">
        <v>94.4</v>
      </c>
      <c r="I19" s="235">
        <v>84.3</v>
      </c>
      <c r="J19" s="235">
        <v>23.1</v>
      </c>
      <c r="K19" s="227">
        <f t="shared" ref="K19" si="93">H19-I19</f>
        <v>10.100000000000009</v>
      </c>
      <c r="L19" s="227">
        <f t="shared" ref="L19" si="94">I19-J19</f>
        <v>61.199999999999996</v>
      </c>
      <c r="M19" s="228">
        <f t="shared" ref="M19" si="95">K19/L19</f>
        <v>0.16503267973856225</v>
      </c>
      <c r="N19" s="518">
        <v>1.64</v>
      </c>
      <c r="O19" s="519">
        <f t="shared" si="2"/>
        <v>0.27065359477124207</v>
      </c>
      <c r="P19" s="520">
        <f t="shared" si="3"/>
        <v>0.27065359477124207</v>
      </c>
      <c r="Q19" s="526"/>
      <c r="R19" s="235"/>
      <c r="S19" s="235"/>
      <c r="T19" s="517"/>
      <c r="U19" s="535" t="s">
        <v>662</v>
      </c>
      <c r="V19" s="235" t="s">
        <v>63</v>
      </c>
      <c r="W19" s="235">
        <v>91</v>
      </c>
      <c r="X19" s="235">
        <v>83.9</v>
      </c>
      <c r="Y19" s="235">
        <v>22.4</v>
      </c>
      <c r="Z19" s="227">
        <f t="shared" si="81"/>
        <v>7.0999999999999943</v>
      </c>
      <c r="AA19" s="227">
        <f t="shared" si="82"/>
        <v>61.500000000000007</v>
      </c>
      <c r="AB19" s="228">
        <f t="shared" si="83"/>
        <v>0.11544715447154461</v>
      </c>
      <c r="AC19" s="518">
        <v>1.64</v>
      </c>
      <c r="AD19" s="519">
        <f t="shared" si="84"/>
        <v>0.18933333333333313</v>
      </c>
      <c r="AF19" s="526"/>
      <c r="AG19" s="235"/>
      <c r="AH19" s="235"/>
      <c r="AI19" s="517"/>
      <c r="AJ19" s="535" t="s">
        <v>688</v>
      </c>
      <c r="AK19" s="235" t="s">
        <v>63</v>
      </c>
      <c r="AL19" s="235">
        <v>89.3</v>
      </c>
      <c r="AM19" s="235">
        <v>79.5</v>
      </c>
      <c r="AN19" s="235">
        <v>24.3</v>
      </c>
      <c r="AO19" s="227">
        <f t="shared" si="85"/>
        <v>9.7999999999999972</v>
      </c>
      <c r="AP19" s="227">
        <f t="shared" si="86"/>
        <v>55.2</v>
      </c>
      <c r="AQ19" s="228">
        <f t="shared" si="87"/>
        <v>0.1775362318840579</v>
      </c>
      <c r="AR19" s="518">
        <v>1.64</v>
      </c>
      <c r="AS19" s="519">
        <f t="shared" si="88"/>
        <v>0.29115942028985492</v>
      </c>
      <c r="AU19" s="526"/>
      <c r="AV19" s="235"/>
      <c r="AW19" s="235"/>
      <c r="AX19" s="517"/>
      <c r="AY19" s="535" t="s">
        <v>703</v>
      </c>
      <c r="AZ19" s="235" t="s">
        <v>63</v>
      </c>
      <c r="BA19" s="235">
        <v>101</v>
      </c>
      <c r="BB19" s="235">
        <v>90.4</v>
      </c>
      <c r="BC19" s="235">
        <v>21.5</v>
      </c>
      <c r="BD19" s="227">
        <f t="shared" si="89"/>
        <v>10.599999999999994</v>
      </c>
      <c r="BE19" s="227">
        <f t="shared" si="90"/>
        <v>68.900000000000006</v>
      </c>
      <c r="BF19" s="228">
        <f t="shared" si="91"/>
        <v>0.15384615384615374</v>
      </c>
      <c r="BG19" s="518">
        <v>1.64</v>
      </c>
      <c r="BH19" s="519">
        <f t="shared" si="92"/>
        <v>0.25230769230769212</v>
      </c>
      <c r="BJ19" s="231">
        <v>0.12116395222584155</v>
      </c>
      <c r="BK19" s="231">
        <v>0.12002237136465321</v>
      </c>
      <c r="BL19" s="231">
        <v>0.101887240356083</v>
      </c>
      <c r="BM19" s="231">
        <f t="shared" si="16"/>
        <v>100.95114006514667</v>
      </c>
      <c r="BN19" s="231">
        <f t="shared" si="16"/>
        <v>117.79921700223721</v>
      </c>
      <c r="BO19" s="231">
        <f>AVERAGE(BJ19:BK19)</f>
        <v>0.12059316179524737</v>
      </c>
    </row>
    <row r="20" spans="1:68">
      <c r="A20" s="231">
        <f>A19+6</f>
        <v>133</v>
      </c>
      <c r="B20" s="515"/>
      <c r="C20" s="227"/>
      <c r="D20" s="227"/>
      <c r="E20" s="523"/>
      <c r="F20" s="226"/>
      <c r="G20" s="227" t="s">
        <v>63</v>
      </c>
      <c r="H20" s="227"/>
      <c r="I20" s="227"/>
      <c r="J20" s="227"/>
      <c r="K20" s="227"/>
      <c r="L20" s="227"/>
      <c r="M20" s="228"/>
      <c r="N20" s="521"/>
      <c r="O20" s="519"/>
      <c r="P20" s="520">
        <f t="shared" si="3"/>
        <v>0</v>
      </c>
      <c r="Q20" s="515"/>
      <c r="R20" s="227"/>
      <c r="S20" s="227"/>
      <c r="T20" s="523"/>
      <c r="U20" s="226"/>
      <c r="V20" s="227" t="s">
        <v>63</v>
      </c>
      <c r="W20" s="227"/>
      <c r="X20" s="227"/>
      <c r="Y20" s="227"/>
      <c r="Z20" s="227"/>
      <c r="AA20" s="227"/>
      <c r="AB20" s="228"/>
      <c r="AC20" s="521"/>
      <c r="AD20" s="519"/>
      <c r="AF20" s="515"/>
      <c r="AG20" s="227"/>
      <c r="AH20" s="227"/>
      <c r="AI20" s="523"/>
      <c r="AJ20" s="226"/>
      <c r="AK20" s="227" t="s">
        <v>63</v>
      </c>
      <c r="AL20" s="227"/>
      <c r="AM20" s="227"/>
      <c r="AN20" s="227"/>
      <c r="AO20" s="227"/>
      <c r="AP20" s="227"/>
      <c r="AQ20" s="228"/>
      <c r="AR20" s="521"/>
      <c r="AS20" s="519"/>
      <c r="AU20" s="515"/>
      <c r="AV20" s="227"/>
      <c r="AW20" s="227"/>
      <c r="AX20" s="523"/>
      <c r="AY20" s="226"/>
      <c r="AZ20" s="227" t="s">
        <v>63</v>
      </c>
      <c r="BA20" s="227"/>
      <c r="BB20" s="227"/>
      <c r="BC20" s="227"/>
      <c r="BD20" s="227"/>
      <c r="BE20" s="227"/>
      <c r="BF20" s="228"/>
      <c r="BG20" s="521"/>
      <c r="BH20" s="519"/>
      <c r="BJ20" s="231">
        <v>0.17148401826484017</v>
      </c>
      <c r="BK20" s="231">
        <v>0.17822298065984066</v>
      </c>
      <c r="BL20" s="231">
        <v>0.19955650929899854</v>
      </c>
      <c r="BM20" s="231">
        <f t="shared" si="16"/>
        <v>96.218802777256556</v>
      </c>
      <c r="BN20" s="231">
        <f t="shared" si="16"/>
        <v>89.309530060383281</v>
      </c>
      <c r="BO20" s="231">
        <f>AVERAGE(BJ20:BK20)</f>
        <v>0.17485349946234041</v>
      </c>
    </row>
    <row r="21" spans="1:68">
      <c r="A21" s="231">
        <f>A51+6</f>
        <v>157</v>
      </c>
      <c r="B21" s="523"/>
      <c r="C21" s="227"/>
      <c r="D21" s="227"/>
      <c r="E21" s="523"/>
      <c r="F21" s="534" t="s">
        <v>631</v>
      </c>
      <c r="G21" s="227" t="s">
        <v>64</v>
      </c>
      <c r="H21" s="227">
        <v>94.8</v>
      </c>
      <c r="I21" s="227">
        <v>82</v>
      </c>
      <c r="J21" s="227">
        <v>22.9</v>
      </c>
      <c r="K21" s="227">
        <f t="shared" si="0"/>
        <v>12.799999999999997</v>
      </c>
      <c r="L21" s="227">
        <f t="shared" si="0"/>
        <v>59.1</v>
      </c>
      <c r="M21" s="228">
        <f t="shared" si="1"/>
        <v>0.21658206429780028</v>
      </c>
      <c r="N21" s="521">
        <v>1.54</v>
      </c>
      <c r="O21" s="519">
        <f t="shared" si="2"/>
        <v>0.33353637901861244</v>
      </c>
      <c r="P21" s="520">
        <f t="shared" si="3"/>
        <v>0.33353637901861244</v>
      </c>
      <c r="Q21" s="523"/>
      <c r="R21" s="227"/>
      <c r="S21" s="227"/>
      <c r="T21" s="523"/>
      <c r="U21" s="534" t="s">
        <v>655</v>
      </c>
      <c r="V21" s="227" t="s">
        <v>64</v>
      </c>
      <c r="W21" s="227">
        <v>104.5</v>
      </c>
      <c r="X21" s="227">
        <v>90.2</v>
      </c>
      <c r="Y21" s="227">
        <v>25.8</v>
      </c>
      <c r="Z21" s="227">
        <f t="shared" ref="Z21:Z22" si="96">W21-X21</f>
        <v>14.299999999999997</v>
      </c>
      <c r="AA21" s="227">
        <f t="shared" ref="AA21:AA22" si="97">X21-Y21</f>
        <v>64.400000000000006</v>
      </c>
      <c r="AB21" s="228">
        <f t="shared" ref="AB21:AB22" si="98">Z21/AA21</f>
        <v>0.22204968944099374</v>
      </c>
      <c r="AC21" s="521">
        <v>1.54</v>
      </c>
      <c r="AD21" s="519">
        <f t="shared" ref="AD21:AD22" si="99">AB21*AC21</f>
        <v>0.34195652173913038</v>
      </c>
      <c r="AF21" s="523"/>
      <c r="AG21" s="227"/>
      <c r="AH21" s="227"/>
      <c r="AI21" s="523"/>
      <c r="AJ21" s="534" t="s">
        <v>683</v>
      </c>
      <c r="AK21" s="227" t="s">
        <v>64</v>
      </c>
      <c r="AL21" s="227">
        <v>89</v>
      </c>
      <c r="AM21" s="227">
        <v>75.900000000000006</v>
      </c>
      <c r="AN21" s="227">
        <v>21.1</v>
      </c>
      <c r="AO21" s="227">
        <f t="shared" ref="AO21:AO22" si="100">AL21-AM21</f>
        <v>13.099999999999994</v>
      </c>
      <c r="AP21" s="227">
        <f t="shared" ref="AP21:AP22" si="101">AM21-AN21</f>
        <v>54.800000000000004</v>
      </c>
      <c r="AQ21" s="228">
        <f t="shared" ref="AQ21:AQ22" si="102">AO21/AP21</f>
        <v>0.23905109489051082</v>
      </c>
      <c r="AR21" s="521">
        <v>1.54</v>
      </c>
      <c r="AS21" s="519">
        <f t="shared" ref="AS21:AS22" si="103">AQ21*AR21</f>
        <v>0.36813868613138667</v>
      </c>
      <c r="AU21" s="523"/>
      <c r="AV21" s="227"/>
      <c r="AW21" s="227"/>
      <c r="AX21" s="523"/>
      <c r="AY21" s="534" t="s">
        <v>257</v>
      </c>
      <c r="AZ21" s="227" t="s">
        <v>64</v>
      </c>
      <c r="BA21" s="227">
        <v>106.6</v>
      </c>
      <c r="BB21" s="227">
        <v>90.8</v>
      </c>
      <c r="BC21" s="227">
        <v>22.3</v>
      </c>
      <c r="BD21" s="227">
        <f t="shared" ref="BD21:BD22" si="104">BA21-BB21</f>
        <v>15.799999999999997</v>
      </c>
      <c r="BE21" s="227">
        <f t="shared" ref="BE21:BE22" si="105">BB21-BC21</f>
        <v>68.5</v>
      </c>
      <c r="BF21" s="228">
        <f t="shared" ref="BF21:BF22" si="106">BD21/BE21</f>
        <v>0.23065693430656931</v>
      </c>
      <c r="BG21" s="521">
        <v>1.54</v>
      </c>
      <c r="BH21" s="519">
        <f t="shared" ref="BH21" si="107">BF21*BG21</f>
        <v>0.35521167883211674</v>
      </c>
      <c r="BJ21" s="231">
        <v>0.18040978593272169</v>
      </c>
      <c r="BK21" s="231">
        <v>0.1922641744548286</v>
      </c>
      <c r="BL21" s="231">
        <v>0.18228752642706145</v>
      </c>
      <c r="BM21" s="231">
        <f t="shared" si="16"/>
        <v>93.834322719913672</v>
      </c>
      <c r="BN21" s="231">
        <f t="shared" si="16"/>
        <v>105.47302836530568</v>
      </c>
      <c r="BO21" s="231">
        <f>AVERAGE(BK21:BL21)</f>
        <v>0.18727585044094502</v>
      </c>
    </row>
    <row r="22" spans="1:68">
      <c r="A22" s="231">
        <f>A21+6</f>
        <v>163</v>
      </c>
      <c r="B22" s="523"/>
      <c r="C22" s="227"/>
      <c r="D22" s="227"/>
      <c r="E22" s="523"/>
      <c r="F22" s="534" t="s">
        <v>639</v>
      </c>
      <c r="G22" s="227" t="s">
        <v>64</v>
      </c>
      <c r="H22" s="227">
        <v>102.8</v>
      </c>
      <c r="I22" s="227">
        <v>87.1</v>
      </c>
      <c r="J22" s="227">
        <v>21.6</v>
      </c>
      <c r="K22" s="227">
        <f t="shared" ref="K22" si="108">H22-I22</f>
        <v>15.700000000000003</v>
      </c>
      <c r="L22" s="227">
        <f t="shared" ref="L22" si="109">I22-J22</f>
        <v>65.5</v>
      </c>
      <c r="M22" s="228">
        <f t="shared" ref="M22" si="110">K22/L22</f>
        <v>0.23969465648854965</v>
      </c>
      <c r="N22" s="521">
        <v>1.54</v>
      </c>
      <c r="O22" s="519">
        <f t="shared" si="2"/>
        <v>0.36912977099236649</v>
      </c>
      <c r="P22" s="520">
        <f t="shared" si="3"/>
        <v>0.36912977099236649</v>
      </c>
      <c r="Q22" s="523"/>
      <c r="R22" s="227"/>
      <c r="S22" s="227"/>
      <c r="T22" s="523"/>
      <c r="U22" s="534" t="s">
        <v>465</v>
      </c>
      <c r="V22" s="227" t="s">
        <v>64</v>
      </c>
      <c r="W22" s="227">
        <v>96.4</v>
      </c>
      <c r="X22" s="227">
        <v>84.7</v>
      </c>
      <c r="Y22" s="227">
        <v>22.6</v>
      </c>
      <c r="Z22" s="227">
        <f t="shared" si="96"/>
        <v>11.700000000000003</v>
      </c>
      <c r="AA22" s="227">
        <f t="shared" si="97"/>
        <v>62.1</v>
      </c>
      <c r="AB22" s="228">
        <f t="shared" si="98"/>
        <v>0.18840579710144931</v>
      </c>
      <c r="AC22" s="521">
        <v>1.54</v>
      </c>
      <c r="AD22" s="519">
        <f t="shared" si="99"/>
        <v>0.29014492753623194</v>
      </c>
      <c r="AF22" s="523"/>
      <c r="AG22" s="227"/>
      <c r="AH22" s="227"/>
      <c r="AI22" s="523"/>
      <c r="AJ22" s="534" t="s">
        <v>689</v>
      </c>
      <c r="AK22" s="227" t="s">
        <v>64</v>
      </c>
      <c r="AL22" s="227">
        <v>115.4</v>
      </c>
      <c r="AM22" s="227">
        <v>97.7</v>
      </c>
      <c r="AN22" s="227">
        <v>23</v>
      </c>
      <c r="AO22" s="227">
        <f t="shared" si="100"/>
        <v>17.700000000000003</v>
      </c>
      <c r="AP22" s="227">
        <f t="shared" si="101"/>
        <v>74.7</v>
      </c>
      <c r="AQ22" s="228">
        <f t="shared" si="102"/>
        <v>0.23694779116465867</v>
      </c>
      <c r="AR22" s="521">
        <v>1.54</v>
      </c>
      <c r="AS22" s="519">
        <f t="shared" si="103"/>
        <v>0.36489959839357433</v>
      </c>
      <c r="AU22" s="523"/>
      <c r="AV22" s="227"/>
      <c r="AW22" s="227"/>
      <c r="AX22" s="523"/>
      <c r="AY22" s="534" t="s">
        <v>395</v>
      </c>
      <c r="AZ22" s="227" t="s">
        <v>64</v>
      </c>
      <c r="BA22" s="227">
        <v>96.2</v>
      </c>
      <c r="BB22" s="227">
        <v>89.3</v>
      </c>
      <c r="BC22" s="227">
        <v>24.9</v>
      </c>
      <c r="BD22" s="227">
        <f t="shared" si="104"/>
        <v>6.9000000000000057</v>
      </c>
      <c r="BE22" s="227">
        <f t="shared" si="105"/>
        <v>64.400000000000006</v>
      </c>
      <c r="BF22" s="228">
        <f t="shared" si="106"/>
        <v>0.10714285714285722</v>
      </c>
      <c r="BG22" s="521">
        <v>1.54</v>
      </c>
      <c r="BH22" s="519">
        <f>BF22*BG22</f>
        <v>0.16500000000000012</v>
      </c>
      <c r="BJ22" s="231">
        <v>0.13950452079565989</v>
      </c>
      <c r="BK22" s="231">
        <v>0.20129419439008472</v>
      </c>
      <c r="BL22" s="231">
        <v>0.16926820603907672</v>
      </c>
      <c r="BM22" s="231">
        <f t="shared" si="16"/>
        <v>69.303797468354389</v>
      </c>
      <c r="BN22" s="231">
        <f t="shared" si="16"/>
        <v>118.92026216879417</v>
      </c>
      <c r="BO22" s="231">
        <f>AVERAGE(BJ22:BK22)</f>
        <v>0.17039935759287231</v>
      </c>
    </row>
    <row r="23" spans="1:68">
      <c r="A23" s="231">
        <f>A22+6</f>
        <v>169</v>
      </c>
      <c r="B23" s="523"/>
      <c r="C23" s="227"/>
      <c r="D23" s="227"/>
      <c r="E23" s="523"/>
      <c r="F23" s="226"/>
      <c r="G23" s="227" t="s">
        <v>64</v>
      </c>
      <c r="H23" s="227"/>
      <c r="I23" s="227"/>
      <c r="J23" s="227"/>
      <c r="K23" s="227"/>
      <c r="L23" s="227"/>
      <c r="M23" s="228"/>
      <c r="N23" s="521"/>
      <c r="O23" s="519"/>
      <c r="P23" s="520">
        <f t="shared" si="3"/>
        <v>0</v>
      </c>
      <c r="Q23" s="523"/>
      <c r="R23" s="227"/>
      <c r="S23" s="227"/>
      <c r="T23" s="523"/>
      <c r="U23" s="226"/>
      <c r="V23" s="227" t="s">
        <v>64</v>
      </c>
      <c r="W23" s="227"/>
      <c r="X23" s="227"/>
      <c r="Y23" s="227"/>
      <c r="Z23" s="227"/>
      <c r="AA23" s="227"/>
      <c r="AB23" s="228"/>
      <c r="AC23" s="521"/>
      <c r="AD23" s="519"/>
      <c r="AF23" s="523"/>
      <c r="AG23" s="227"/>
      <c r="AH23" s="227"/>
      <c r="AI23" s="523"/>
      <c r="AJ23" s="226"/>
      <c r="AK23" s="227" t="s">
        <v>64</v>
      </c>
      <c r="AL23" s="227"/>
      <c r="AM23" s="227"/>
      <c r="AN23" s="227"/>
      <c r="AO23" s="227"/>
      <c r="AP23" s="227"/>
      <c r="AQ23" s="228"/>
      <c r="AR23" s="521"/>
      <c r="AS23" s="519"/>
      <c r="AU23" s="523"/>
      <c r="AV23" s="227"/>
      <c r="AW23" s="227"/>
      <c r="AX23" s="523"/>
      <c r="AY23" s="226"/>
      <c r="AZ23" s="227" t="s">
        <v>64</v>
      </c>
      <c r="BA23" s="227"/>
      <c r="BB23" s="227"/>
      <c r="BC23" s="227"/>
      <c r="BD23" s="227"/>
      <c r="BE23" s="227"/>
      <c r="BF23" s="228"/>
      <c r="BG23" s="521"/>
      <c r="BH23" s="519"/>
      <c r="BJ23" s="231">
        <v>0.17530905077262698</v>
      </c>
      <c r="BK23" s="231">
        <v>0.18007936507936512</v>
      </c>
      <c r="BL23" s="231">
        <v>0.17423385689354259</v>
      </c>
      <c r="BM23" s="231">
        <f t="shared" si="16"/>
        <v>97.350993377483448</v>
      </c>
      <c r="BN23" s="231">
        <f t="shared" si="16"/>
        <v>103.35497835497847</v>
      </c>
      <c r="BO23" s="231">
        <f>AVERAGE(BJ23:BK23)</f>
        <v>0.17769420792599605</v>
      </c>
    </row>
    <row r="24" spans="1:68">
      <c r="A24" s="231">
        <f>A54+6</f>
        <v>193</v>
      </c>
      <c r="B24" s="515"/>
      <c r="C24" s="227"/>
      <c r="D24" s="227"/>
      <c r="E24" s="523"/>
      <c r="F24" s="534" t="s">
        <v>632</v>
      </c>
      <c r="G24" s="227" t="s">
        <v>65</v>
      </c>
      <c r="H24" s="227">
        <v>89.7</v>
      </c>
      <c r="I24" s="227">
        <v>75.7</v>
      </c>
      <c r="J24" s="227">
        <v>22.8</v>
      </c>
      <c r="K24" s="227">
        <f t="shared" si="0"/>
        <v>14</v>
      </c>
      <c r="L24" s="227">
        <f t="shared" si="0"/>
        <v>52.900000000000006</v>
      </c>
      <c r="M24" s="228">
        <f t="shared" si="1"/>
        <v>0.26465028355387521</v>
      </c>
      <c r="N24" s="521">
        <v>1.52</v>
      </c>
      <c r="O24" s="519">
        <f t="shared" si="2"/>
        <v>0.4022684310018903</v>
      </c>
      <c r="P24" s="520">
        <f t="shared" si="3"/>
        <v>0.4022684310018903</v>
      </c>
      <c r="Q24" s="515"/>
      <c r="R24" s="227"/>
      <c r="S24" s="227"/>
      <c r="T24" s="523"/>
      <c r="U24" s="534" t="s">
        <v>656</v>
      </c>
      <c r="V24" s="227" t="s">
        <v>65</v>
      </c>
      <c r="W24" s="227">
        <v>110</v>
      </c>
      <c r="X24" s="227">
        <v>92.5</v>
      </c>
      <c r="Y24" s="227">
        <v>25.9</v>
      </c>
      <c r="Z24" s="227">
        <f t="shared" ref="Z24:Z25" si="111">W24-X24</f>
        <v>17.5</v>
      </c>
      <c r="AA24" s="227">
        <f t="shared" ref="AA24:AA25" si="112">X24-Y24</f>
        <v>66.599999999999994</v>
      </c>
      <c r="AB24" s="228">
        <f t="shared" ref="AB24:AB25" si="113">Z24/AA24</f>
        <v>0.26276276276276278</v>
      </c>
      <c r="AC24" s="521">
        <v>1.52</v>
      </c>
      <c r="AD24" s="519">
        <f t="shared" ref="AD24:AD32" si="114">AB24*AC24</f>
        <v>0.39939939939939945</v>
      </c>
      <c r="AF24" s="515"/>
      <c r="AG24" s="227"/>
      <c r="AH24" s="227"/>
      <c r="AI24" s="523"/>
      <c r="AJ24" s="534" t="s">
        <v>422</v>
      </c>
      <c r="AK24" s="227" t="s">
        <v>65</v>
      </c>
      <c r="AL24" s="227">
        <v>111.5</v>
      </c>
      <c r="AM24" s="227">
        <v>92.4</v>
      </c>
      <c r="AN24" s="227">
        <v>21.8</v>
      </c>
      <c r="AO24" s="227">
        <f t="shared" ref="AO24:AO25" si="115">AL24-AM24</f>
        <v>19.099999999999994</v>
      </c>
      <c r="AP24" s="227">
        <f t="shared" ref="AP24:AP25" si="116">AM24-AN24</f>
        <v>70.600000000000009</v>
      </c>
      <c r="AQ24" s="228">
        <f t="shared" ref="AQ24:AQ25" si="117">AO24/AP24</f>
        <v>0.27053824362606221</v>
      </c>
      <c r="AR24" s="521">
        <v>1.52</v>
      </c>
      <c r="AS24" s="519">
        <f t="shared" ref="AS24:AS32" si="118">AQ24*AR24</f>
        <v>0.41121813031161458</v>
      </c>
      <c r="AU24" s="515"/>
      <c r="AV24" s="227"/>
      <c r="AW24" s="227"/>
      <c r="AX24" s="523"/>
      <c r="AY24" s="534" t="s">
        <v>397</v>
      </c>
      <c r="AZ24" s="227" t="s">
        <v>65</v>
      </c>
      <c r="BA24" s="227">
        <v>98.6</v>
      </c>
      <c r="BB24" s="227">
        <v>82.8</v>
      </c>
      <c r="BC24" s="227">
        <v>24.4</v>
      </c>
      <c r="BD24" s="227">
        <f t="shared" ref="BD24:BD25" si="119">BA24-BB24</f>
        <v>15.799999999999997</v>
      </c>
      <c r="BE24" s="227">
        <f t="shared" ref="BE24:BE25" si="120">BB24-BC24</f>
        <v>58.4</v>
      </c>
      <c r="BF24" s="228">
        <f t="shared" ref="BF24:BF25" si="121">BD24/BE24</f>
        <v>0.27054794520547942</v>
      </c>
      <c r="BG24" s="521">
        <v>1.52</v>
      </c>
      <c r="BH24" s="519">
        <f t="shared" ref="BH24:BH32" si="122">BF24*BG24</f>
        <v>0.41123287671232872</v>
      </c>
      <c r="BJ24" s="231">
        <v>0.1951028806584359</v>
      </c>
      <c r="BK24" s="231">
        <v>0.18310457516339868</v>
      </c>
      <c r="BL24" s="231">
        <v>0.17480354879594398</v>
      </c>
      <c r="BM24" s="231">
        <f t="shared" si="16"/>
        <v>106.55270655270638</v>
      </c>
      <c r="BN24" s="231">
        <f t="shared" si="16"/>
        <v>104.74877450980406</v>
      </c>
      <c r="BO24" s="231">
        <f>AVERAGE(BK24:BL24)</f>
        <v>0.17895406197967134</v>
      </c>
    </row>
    <row r="25" spans="1:68">
      <c r="A25" s="231">
        <f>A24+6</f>
        <v>199</v>
      </c>
      <c r="B25" s="515"/>
      <c r="C25" s="227"/>
      <c r="D25" s="227"/>
      <c r="E25" s="523"/>
      <c r="F25" s="534" t="s">
        <v>640</v>
      </c>
      <c r="G25" s="227" t="s">
        <v>65</v>
      </c>
      <c r="H25" s="227">
        <v>110.6</v>
      </c>
      <c r="I25" s="227">
        <v>91.2</v>
      </c>
      <c r="J25" s="227">
        <v>25.1</v>
      </c>
      <c r="K25" s="227">
        <f t="shared" ref="K25" si="123">H25-I25</f>
        <v>19.399999999999991</v>
      </c>
      <c r="L25" s="227">
        <f t="shared" ref="L25" si="124">I25-J25</f>
        <v>66.099999999999994</v>
      </c>
      <c r="M25" s="228">
        <f t="shared" ref="M25" si="125">K25/L25</f>
        <v>0.29349470499243557</v>
      </c>
      <c r="N25" s="521">
        <v>1.52</v>
      </c>
      <c r="O25" s="519">
        <f t="shared" si="2"/>
        <v>0.44611195158850209</v>
      </c>
      <c r="P25" s="520">
        <f t="shared" si="3"/>
        <v>0.44611195158850209</v>
      </c>
      <c r="Q25" s="515"/>
      <c r="R25" s="227"/>
      <c r="S25" s="227"/>
      <c r="T25" s="523"/>
      <c r="U25" s="534" t="s">
        <v>663</v>
      </c>
      <c r="V25" s="227" t="s">
        <v>65</v>
      </c>
      <c r="W25" s="227">
        <v>114.1</v>
      </c>
      <c r="X25" s="227">
        <v>95.9</v>
      </c>
      <c r="Y25" s="227">
        <v>25.6</v>
      </c>
      <c r="Z25" s="227">
        <f t="shared" si="111"/>
        <v>18.199999999999989</v>
      </c>
      <c r="AA25" s="227">
        <f t="shared" si="112"/>
        <v>70.300000000000011</v>
      </c>
      <c r="AB25" s="228">
        <f t="shared" si="113"/>
        <v>0.25889046941678501</v>
      </c>
      <c r="AC25" s="521">
        <v>1.52</v>
      </c>
      <c r="AD25" s="519">
        <f t="shared" si="114"/>
        <v>0.39351351351351321</v>
      </c>
      <c r="AF25" s="515"/>
      <c r="AG25" s="227"/>
      <c r="AH25" s="227"/>
      <c r="AI25" s="523"/>
      <c r="AJ25" s="534" t="s">
        <v>501</v>
      </c>
      <c r="AK25" s="227" t="s">
        <v>65</v>
      </c>
      <c r="AL25" s="227">
        <v>108.6</v>
      </c>
      <c r="AM25" s="227">
        <v>89.6</v>
      </c>
      <c r="AN25" s="227">
        <v>22.4</v>
      </c>
      <c r="AO25" s="227">
        <f t="shared" si="115"/>
        <v>19</v>
      </c>
      <c r="AP25" s="227">
        <f t="shared" si="116"/>
        <v>67.199999999999989</v>
      </c>
      <c r="AQ25" s="228">
        <f t="shared" si="117"/>
        <v>0.28273809523809529</v>
      </c>
      <c r="AR25" s="521">
        <v>1.52</v>
      </c>
      <c r="AS25" s="519">
        <f t="shared" si="118"/>
        <v>0.42976190476190484</v>
      </c>
      <c r="AU25" s="515"/>
      <c r="AV25" s="227"/>
      <c r="AW25" s="227"/>
      <c r="AX25" s="523"/>
      <c r="AY25" s="534" t="s">
        <v>279</v>
      </c>
      <c r="AZ25" s="227" t="s">
        <v>65</v>
      </c>
      <c r="BA25" s="227">
        <v>103.6</v>
      </c>
      <c r="BB25" s="227">
        <v>85.6</v>
      </c>
      <c r="BC25" s="227">
        <v>21.4</v>
      </c>
      <c r="BD25" s="227">
        <f t="shared" si="119"/>
        <v>18</v>
      </c>
      <c r="BE25" s="227">
        <f t="shared" si="120"/>
        <v>64.199999999999989</v>
      </c>
      <c r="BF25" s="228">
        <f t="shared" si="121"/>
        <v>0.28037383177570097</v>
      </c>
      <c r="BG25" s="521">
        <v>1.52</v>
      </c>
      <c r="BH25" s="519">
        <f t="shared" si="122"/>
        <v>0.42616822429906548</v>
      </c>
      <c r="BJ25" s="231">
        <v>0.23519395134779741</v>
      </c>
      <c r="BK25" s="231">
        <v>0.23568353694008157</v>
      </c>
      <c r="BL25" s="231">
        <v>0.22823299888517279</v>
      </c>
      <c r="BM25" s="231">
        <f t="shared" si="16"/>
        <v>99.792269923202724</v>
      </c>
      <c r="BN25" s="231">
        <f t="shared" si="16"/>
        <v>103.26444383209339</v>
      </c>
      <c r="BO25" s="231">
        <f>AVERAGE(BJ25:BK25)</f>
        <v>0.2354387441439395</v>
      </c>
    </row>
    <row r="26" spans="1:68">
      <c r="A26" s="231">
        <f>A25+6</f>
        <v>205</v>
      </c>
      <c r="B26" s="523"/>
      <c r="C26" s="227"/>
      <c r="D26" s="227"/>
      <c r="E26" s="523"/>
      <c r="F26" s="226"/>
      <c r="G26" s="227" t="s">
        <v>65</v>
      </c>
      <c r="H26" s="227"/>
      <c r="I26" s="227"/>
      <c r="J26" s="227"/>
      <c r="K26" s="227"/>
      <c r="L26" s="227"/>
      <c r="M26" s="228"/>
      <c r="N26" s="521"/>
      <c r="O26" s="519">
        <f t="shared" si="2"/>
        <v>0</v>
      </c>
      <c r="P26" s="230">
        <f t="shared" si="3"/>
        <v>0</v>
      </c>
      <c r="Q26" s="523"/>
      <c r="R26" s="227"/>
      <c r="S26" s="227"/>
      <c r="T26" s="523"/>
      <c r="U26" s="226"/>
      <c r="V26" s="227" t="s">
        <v>65</v>
      </c>
      <c r="W26" s="227"/>
      <c r="X26" s="227"/>
      <c r="Y26" s="227"/>
      <c r="Z26" s="227"/>
      <c r="AA26" s="227"/>
      <c r="AB26" s="228"/>
      <c r="AC26" s="521"/>
      <c r="AD26" s="519">
        <f t="shared" si="114"/>
        <v>0</v>
      </c>
      <c r="AF26" s="523"/>
      <c r="AG26" s="227"/>
      <c r="AH26" s="227"/>
      <c r="AI26" s="523"/>
      <c r="AJ26" s="226"/>
      <c r="AK26" s="227" t="s">
        <v>65</v>
      </c>
      <c r="AL26" s="227"/>
      <c r="AM26" s="227"/>
      <c r="AN26" s="227"/>
      <c r="AO26" s="227"/>
      <c r="AP26" s="227"/>
      <c r="AQ26" s="228"/>
      <c r="AR26" s="521"/>
      <c r="AS26" s="519">
        <f t="shared" si="118"/>
        <v>0</v>
      </c>
      <c r="AU26" s="523"/>
      <c r="AV26" s="227"/>
      <c r="AW26" s="227"/>
      <c r="AX26" s="523"/>
      <c r="AY26" s="226"/>
      <c r="AZ26" s="227" t="s">
        <v>65</v>
      </c>
      <c r="BA26" s="227"/>
      <c r="BB26" s="227"/>
      <c r="BC26" s="227"/>
      <c r="BD26" s="227"/>
      <c r="BE26" s="227"/>
      <c r="BF26" s="228"/>
      <c r="BG26" s="521"/>
      <c r="BH26" s="519">
        <f t="shared" si="122"/>
        <v>0</v>
      </c>
      <c r="BJ26" s="231">
        <v>0.19105929763960861</v>
      </c>
      <c r="BK26" s="231">
        <v>0.25352941176470573</v>
      </c>
      <c r="BL26" s="231">
        <v>0.15384404173531024</v>
      </c>
      <c r="BM26" s="231">
        <f t="shared" si="16"/>
        <v>75.359815774323621</v>
      </c>
      <c r="BN26" s="231">
        <f t="shared" si="16"/>
        <v>164.79638009049765</v>
      </c>
      <c r="BO26" s="231">
        <f>AVERAGE(BJ26:BK26)</f>
        <v>0.22229435470215717</v>
      </c>
    </row>
    <row r="27" spans="1:68">
      <c r="A27" s="231">
        <f>A57+6</f>
        <v>229</v>
      </c>
      <c r="B27" s="525"/>
      <c r="C27" s="227"/>
      <c r="D27" s="227"/>
      <c r="E27" s="523"/>
      <c r="F27" s="534" t="s">
        <v>440</v>
      </c>
      <c r="G27" s="227" t="s">
        <v>66</v>
      </c>
      <c r="H27" s="227">
        <v>104</v>
      </c>
      <c r="I27" s="227">
        <v>85.8</v>
      </c>
      <c r="J27" s="227">
        <v>22.3</v>
      </c>
      <c r="K27" s="227">
        <f t="shared" si="0"/>
        <v>18.200000000000003</v>
      </c>
      <c r="L27" s="227">
        <f t="shared" si="0"/>
        <v>63.5</v>
      </c>
      <c r="M27" s="228">
        <f t="shared" si="1"/>
        <v>0.28661417322834648</v>
      </c>
      <c r="N27" s="521">
        <v>1.47</v>
      </c>
      <c r="O27" s="519">
        <f t="shared" si="2"/>
        <v>0.42132283464566933</v>
      </c>
      <c r="P27" s="520">
        <f t="shared" si="3"/>
        <v>0.42132283464566933</v>
      </c>
      <c r="Q27" s="525"/>
      <c r="R27" s="227"/>
      <c r="S27" s="227"/>
      <c r="T27" s="523"/>
      <c r="U27" s="534" t="s">
        <v>657</v>
      </c>
      <c r="V27" s="227" t="s">
        <v>66</v>
      </c>
      <c r="W27" s="227">
        <v>98.2</v>
      </c>
      <c r="X27" s="227">
        <v>81.400000000000006</v>
      </c>
      <c r="Y27" s="227">
        <v>21.9</v>
      </c>
      <c r="Z27" s="227">
        <f t="shared" ref="Z27:Z28" si="126">W27-X27</f>
        <v>16.799999999999997</v>
      </c>
      <c r="AA27" s="227">
        <f t="shared" ref="AA27:AA28" si="127">X27-Y27</f>
        <v>59.500000000000007</v>
      </c>
      <c r="AB27" s="228">
        <f t="shared" ref="AB27:AB28" si="128">Z27/AA27</f>
        <v>0.28235294117647053</v>
      </c>
      <c r="AC27" s="521">
        <v>1.47</v>
      </c>
      <c r="AD27" s="519">
        <f t="shared" si="114"/>
        <v>0.41505882352941165</v>
      </c>
      <c r="AF27" s="525"/>
      <c r="AG27" s="227"/>
      <c r="AH27" s="227"/>
      <c r="AI27" s="523"/>
      <c r="AJ27" s="534" t="s">
        <v>427</v>
      </c>
      <c r="AK27" s="227" t="s">
        <v>66</v>
      </c>
      <c r="AL27" s="227">
        <v>105.8</v>
      </c>
      <c r="AM27" s="227">
        <v>86.9</v>
      </c>
      <c r="AN27" s="227">
        <v>22.6</v>
      </c>
      <c r="AO27" s="227">
        <f t="shared" ref="AO27:AO28" si="129">AL27-AM27</f>
        <v>18.899999999999991</v>
      </c>
      <c r="AP27" s="227">
        <f t="shared" ref="AP27:AP28" si="130">AM27-AN27</f>
        <v>64.300000000000011</v>
      </c>
      <c r="AQ27" s="228">
        <f t="shared" ref="AQ27:AQ28" si="131">AO27/AP27</f>
        <v>0.29393468118195937</v>
      </c>
      <c r="AR27" s="521">
        <v>1.47</v>
      </c>
      <c r="AS27" s="519">
        <f t="shared" si="118"/>
        <v>0.43208398133748027</v>
      </c>
      <c r="AU27" s="525"/>
      <c r="AV27" s="227"/>
      <c r="AW27" s="227"/>
      <c r="AX27" s="523"/>
      <c r="AY27" s="534" t="s">
        <v>340</v>
      </c>
      <c r="AZ27" s="227" t="s">
        <v>66</v>
      </c>
      <c r="BA27" s="227">
        <v>104.7</v>
      </c>
      <c r="BB27" s="227">
        <v>86</v>
      </c>
      <c r="BC27" s="227">
        <v>23.3</v>
      </c>
      <c r="BD27" s="227">
        <f t="shared" ref="BD27:BD28" si="132">BA27-BB27</f>
        <v>18.700000000000003</v>
      </c>
      <c r="BE27" s="227">
        <f t="shared" ref="BE27:BE28" si="133">BB27-BC27</f>
        <v>62.7</v>
      </c>
      <c r="BF27" s="228">
        <f t="shared" ref="BF27:BF28" si="134">BD27/BE27</f>
        <v>0.29824561403508776</v>
      </c>
      <c r="BG27" s="521">
        <v>1.47</v>
      </c>
      <c r="BH27" s="519">
        <f t="shared" si="122"/>
        <v>0.43842105263157899</v>
      </c>
      <c r="BJ27" s="231">
        <v>0.25437342497136306</v>
      </c>
      <c r="BK27" s="231">
        <v>0.24276031215161634</v>
      </c>
      <c r="BL27" s="231">
        <v>0.2441272264631045</v>
      </c>
      <c r="BM27" s="231">
        <f t="shared" si="16"/>
        <v>104.78377734680689</v>
      </c>
      <c r="BN27" s="231">
        <f t="shared" si="16"/>
        <v>99.440081169441072</v>
      </c>
      <c r="BO27" s="231">
        <f>AVERAGE(BK27:BL27)</f>
        <v>0.24344376930736042</v>
      </c>
    </row>
    <row r="28" spans="1:68">
      <c r="A28" s="231">
        <f>A27+6</f>
        <v>235</v>
      </c>
      <c r="B28" s="525"/>
      <c r="C28" s="227"/>
      <c r="D28" s="227"/>
      <c r="E28" s="523"/>
      <c r="F28" s="534" t="s">
        <v>371</v>
      </c>
      <c r="G28" s="227" t="s">
        <v>66</v>
      </c>
      <c r="H28" s="227">
        <v>102.2</v>
      </c>
      <c r="I28" s="227">
        <v>83.9</v>
      </c>
      <c r="J28" s="227">
        <v>21.3</v>
      </c>
      <c r="K28" s="227">
        <f t="shared" ref="K28" si="135">H28-I28</f>
        <v>18.299999999999997</v>
      </c>
      <c r="L28" s="227">
        <f t="shared" ref="L28" si="136">I28-J28</f>
        <v>62.600000000000009</v>
      </c>
      <c r="M28" s="228">
        <f t="shared" ref="M28" si="137">K28/L28</f>
        <v>0.29233226837060694</v>
      </c>
      <c r="N28" s="521">
        <v>1.47</v>
      </c>
      <c r="O28" s="519">
        <f t="shared" si="2"/>
        <v>0.4297284345047922</v>
      </c>
      <c r="P28" s="520">
        <f t="shared" si="3"/>
        <v>0.4297284345047922</v>
      </c>
      <c r="Q28" s="525"/>
      <c r="R28" s="227"/>
      <c r="S28" s="227"/>
      <c r="T28" s="523"/>
      <c r="U28" s="534" t="s">
        <v>664</v>
      </c>
      <c r="V28" s="227" t="s">
        <v>66</v>
      </c>
      <c r="W28" s="227">
        <v>113.3</v>
      </c>
      <c r="X28" s="227">
        <v>93.6</v>
      </c>
      <c r="Y28" s="227">
        <v>22.5</v>
      </c>
      <c r="Z28" s="227">
        <f t="shared" si="126"/>
        <v>19.700000000000003</v>
      </c>
      <c r="AA28" s="227">
        <f t="shared" si="127"/>
        <v>71.099999999999994</v>
      </c>
      <c r="AB28" s="228">
        <f t="shared" si="128"/>
        <v>0.27707454289732775</v>
      </c>
      <c r="AC28" s="521">
        <v>1.47</v>
      </c>
      <c r="AD28" s="519">
        <f t="shared" si="114"/>
        <v>0.4072995780590718</v>
      </c>
      <c r="AF28" s="525"/>
      <c r="AG28" s="227"/>
      <c r="AH28" s="227"/>
      <c r="AI28" s="523"/>
      <c r="AJ28" s="534" t="s">
        <v>263</v>
      </c>
      <c r="AK28" s="227" t="s">
        <v>66</v>
      </c>
      <c r="AL28" s="227">
        <v>106.4</v>
      </c>
      <c r="AM28" s="227">
        <v>87.3</v>
      </c>
      <c r="AN28" s="227">
        <v>23</v>
      </c>
      <c r="AO28" s="227">
        <f t="shared" si="129"/>
        <v>19.100000000000009</v>
      </c>
      <c r="AP28" s="227">
        <f t="shared" si="130"/>
        <v>64.3</v>
      </c>
      <c r="AQ28" s="228">
        <f t="shared" si="131"/>
        <v>0.29704510108864712</v>
      </c>
      <c r="AR28" s="521">
        <v>1.47</v>
      </c>
      <c r="AS28" s="519">
        <f t="shared" si="118"/>
        <v>0.43665629860031124</v>
      </c>
      <c r="AU28" s="525"/>
      <c r="AV28" s="227"/>
      <c r="AW28" s="227"/>
      <c r="AX28" s="523"/>
      <c r="AY28" s="534" t="s">
        <v>704</v>
      </c>
      <c r="AZ28" s="227" t="s">
        <v>66</v>
      </c>
      <c r="BA28" s="227">
        <v>84.8</v>
      </c>
      <c r="BB28" s="227">
        <v>71.099999999999994</v>
      </c>
      <c r="BC28" s="227">
        <v>21.2</v>
      </c>
      <c r="BD28" s="227">
        <f t="shared" si="132"/>
        <v>13.700000000000003</v>
      </c>
      <c r="BE28" s="227">
        <f t="shared" si="133"/>
        <v>49.899999999999991</v>
      </c>
      <c r="BF28" s="228">
        <f t="shared" si="134"/>
        <v>0.27454909819639289</v>
      </c>
      <c r="BG28" s="521">
        <v>1.47</v>
      </c>
      <c r="BH28" s="519">
        <f t="shared" si="122"/>
        <v>0.40358717434869756</v>
      </c>
      <c r="BJ28" s="231">
        <v>0.24029721362229098</v>
      </c>
      <c r="BK28" s="231">
        <v>0.23356666666666656</v>
      </c>
      <c r="BL28" s="231">
        <v>0.24128519855595659</v>
      </c>
      <c r="BM28" s="231">
        <f t="shared" si="16"/>
        <v>102.88163848535368</v>
      </c>
      <c r="BN28" s="231">
        <f t="shared" si="16"/>
        <v>96.8010752688172</v>
      </c>
      <c r="BO28" s="231">
        <f>AVERAGE(BJ28:BK28)</f>
        <v>0.23693194014447877</v>
      </c>
    </row>
    <row r="29" spans="1:68">
      <c r="A29" s="231">
        <f>A28+6</f>
        <v>241</v>
      </c>
      <c r="B29" s="525"/>
      <c r="C29" s="227"/>
      <c r="D29" s="227"/>
      <c r="E29" s="523"/>
      <c r="F29" s="226"/>
      <c r="G29" s="227" t="s">
        <v>66</v>
      </c>
      <c r="H29" s="227"/>
      <c r="I29" s="227"/>
      <c r="J29" s="227"/>
      <c r="K29" s="227"/>
      <c r="L29" s="227"/>
      <c r="M29" s="228"/>
      <c r="N29" s="521"/>
      <c r="O29" s="524">
        <f t="shared" si="2"/>
        <v>0</v>
      </c>
      <c r="P29" s="230">
        <f t="shared" si="3"/>
        <v>0</v>
      </c>
      <c r="Q29" s="525"/>
      <c r="R29" s="227"/>
      <c r="S29" s="227"/>
      <c r="T29" s="523"/>
      <c r="U29" s="226"/>
      <c r="V29" s="227" t="s">
        <v>66</v>
      </c>
      <c r="W29" s="227"/>
      <c r="X29" s="227"/>
      <c r="Y29" s="227"/>
      <c r="Z29" s="227"/>
      <c r="AA29" s="227"/>
      <c r="AB29" s="228"/>
      <c r="AC29" s="521"/>
      <c r="AD29" s="524">
        <f t="shared" si="114"/>
        <v>0</v>
      </c>
      <c r="AF29" s="525"/>
      <c r="AG29" s="227"/>
      <c r="AH29" s="227"/>
      <c r="AI29" s="523"/>
      <c r="AJ29" s="226"/>
      <c r="AK29" s="227" t="s">
        <v>66</v>
      </c>
      <c r="AL29" s="227"/>
      <c r="AM29" s="227"/>
      <c r="AN29" s="227"/>
      <c r="AO29" s="227"/>
      <c r="AP29" s="227"/>
      <c r="AQ29" s="228"/>
      <c r="AR29" s="521"/>
      <c r="AS29" s="524">
        <f t="shared" si="118"/>
        <v>0</v>
      </c>
      <c r="AU29" s="525"/>
      <c r="AV29" s="227"/>
      <c r="AW29" s="227"/>
      <c r="AX29" s="523"/>
      <c r="AY29" s="226"/>
      <c r="AZ29" s="227" t="s">
        <v>66</v>
      </c>
      <c r="BA29" s="227"/>
      <c r="BB29" s="227"/>
      <c r="BC29" s="227"/>
      <c r="BD29" s="227"/>
      <c r="BE29" s="227"/>
      <c r="BF29" s="228"/>
      <c r="BG29" s="521"/>
      <c r="BH29" s="524">
        <f t="shared" si="122"/>
        <v>0</v>
      </c>
      <c r="BJ29" s="523">
        <v>0.24402942840973402</v>
      </c>
      <c r="BK29" s="231">
        <v>0.24558752997601921</v>
      </c>
      <c r="BL29" s="231">
        <v>0.22871762870514828</v>
      </c>
      <c r="BM29" s="231">
        <f t="shared" si="16"/>
        <v>99.365561612009643</v>
      </c>
      <c r="BN29" s="231">
        <f t="shared" si="16"/>
        <v>107.37586401467058</v>
      </c>
      <c r="BO29" s="231">
        <f>AVERAGE(BJ29:BK29)</f>
        <v>0.24480847919287663</v>
      </c>
    </row>
    <row r="30" spans="1:68">
      <c r="A30" s="231">
        <f>A60+6</f>
        <v>265</v>
      </c>
      <c r="B30" s="523"/>
      <c r="C30" s="227"/>
      <c r="D30" s="227"/>
      <c r="E30" s="523"/>
      <c r="F30" s="534" t="s">
        <v>633</v>
      </c>
      <c r="G30" s="227" t="s">
        <v>67</v>
      </c>
      <c r="H30" s="227">
        <v>117.2</v>
      </c>
      <c r="I30" s="227">
        <v>95.9</v>
      </c>
      <c r="J30" s="227">
        <v>23.7</v>
      </c>
      <c r="K30" s="227">
        <f t="shared" si="0"/>
        <v>21.299999999999997</v>
      </c>
      <c r="L30" s="227">
        <f t="shared" si="0"/>
        <v>72.2</v>
      </c>
      <c r="M30" s="228">
        <f t="shared" si="1"/>
        <v>0.29501385041551242</v>
      </c>
      <c r="N30" s="521">
        <v>1.45</v>
      </c>
      <c r="O30" s="519">
        <f t="shared" si="2"/>
        <v>0.42777008310249298</v>
      </c>
      <c r="P30" s="520">
        <f t="shared" si="3"/>
        <v>0.42777008310249298</v>
      </c>
      <c r="Q30" s="527">
        <f>AVERAGE(O27:O30)</f>
        <v>0.31970533806323864</v>
      </c>
      <c r="R30" s="227"/>
      <c r="S30" s="227"/>
      <c r="T30" s="523"/>
      <c r="U30" s="534" t="s">
        <v>658</v>
      </c>
      <c r="V30" s="227" t="s">
        <v>67</v>
      </c>
      <c r="W30" s="227">
        <v>113.2</v>
      </c>
      <c r="X30" s="227">
        <v>93.2</v>
      </c>
      <c r="Y30" s="227">
        <v>23.7</v>
      </c>
      <c r="Z30" s="227">
        <f t="shared" ref="Z30:Z31" si="138">W30-X30</f>
        <v>20</v>
      </c>
      <c r="AA30" s="227">
        <f t="shared" ref="AA30:AA31" si="139">X30-Y30</f>
        <v>69.5</v>
      </c>
      <c r="AB30" s="228">
        <f t="shared" ref="AB30:AB31" si="140">Z30/AA30</f>
        <v>0.28776978417266186</v>
      </c>
      <c r="AC30" s="521">
        <v>1.45</v>
      </c>
      <c r="AD30" s="519">
        <f t="shared" si="114"/>
        <v>0.41726618705035967</v>
      </c>
      <c r="AE30" s="527">
        <f>AVERAGE(AD27:AD30)</f>
        <v>0.30990614715971077</v>
      </c>
      <c r="AF30" s="527">
        <f>AVERAGE(AD27:AD30)</f>
        <v>0.30990614715971077</v>
      </c>
      <c r="AG30" s="227"/>
      <c r="AH30" s="227"/>
      <c r="AI30" s="523"/>
      <c r="AJ30" s="534" t="s">
        <v>684</v>
      </c>
      <c r="AK30" s="227" t="s">
        <v>67</v>
      </c>
      <c r="AL30" s="227">
        <v>103.2</v>
      </c>
      <c r="AM30" s="227">
        <v>85.3</v>
      </c>
      <c r="AN30" s="227">
        <v>25.3</v>
      </c>
      <c r="AO30" s="227">
        <f t="shared" ref="AO30:AO31" si="141">AL30-AM30</f>
        <v>17.900000000000006</v>
      </c>
      <c r="AP30" s="227">
        <f t="shared" ref="AP30:AP31" si="142">AM30-AN30</f>
        <v>60</v>
      </c>
      <c r="AQ30" s="228">
        <f t="shared" ref="AQ30:AQ31" si="143">AO30/AP30</f>
        <v>0.29833333333333345</v>
      </c>
      <c r="AR30" s="521">
        <v>1.45</v>
      </c>
      <c r="AS30" s="519">
        <f t="shared" si="118"/>
        <v>0.43258333333333349</v>
      </c>
      <c r="AT30" s="527">
        <f>AVERAGE(AS27:AS30)</f>
        <v>0.32533090331778125</v>
      </c>
      <c r="AU30" s="527">
        <f>AVERAGE(AS27:AS30)</f>
        <v>0.32533090331778125</v>
      </c>
      <c r="AV30" s="227"/>
      <c r="AW30" s="227"/>
      <c r="AX30" s="523"/>
      <c r="AY30" s="534" t="s">
        <v>326</v>
      </c>
      <c r="AZ30" s="227" t="s">
        <v>67</v>
      </c>
      <c r="BA30" s="227">
        <v>112</v>
      </c>
      <c r="BB30" s="227">
        <v>92.3</v>
      </c>
      <c r="BC30" s="227">
        <v>24.7</v>
      </c>
      <c r="BD30" s="227">
        <f t="shared" ref="BD30:BD31" si="144">BA30-BB30</f>
        <v>19.700000000000003</v>
      </c>
      <c r="BE30" s="227">
        <f t="shared" ref="BE30:BE31" si="145">BB30-BC30</f>
        <v>67.599999999999994</v>
      </c>
      <c r="BF30" s="228">
        <f t="shared" ref="BF30:BF31" si="146">BD30/BE30</f>
        <v>0.29142011834319531</v>
      </c>
      <c r="BG30" s="521">
        <v>1.45</v>
      </c>
      <c r="BH30" s="519">
        <f t="shared" si="122"/>
        <v>0.42255917159763318</v>
      </c>
      <c r="BI30" s="527">
        <f>AVERAGE(AS27:AS30)</f>
        <v>0.32533090331778125</v>
      </c>
      <c r="BJ30" s="528">
        <v>0.31479781420765002</v>
      </c>
      <c r="BK30" s="527">
        <v>0.30846056782334402</v>
      </c>
      <c r="BL30" s="527">
        <v>0.27128421052631546</v>
      </c>
      <c r="BM30" s="231">
        <f t="shared" si="16"/>
        <v>102.0544753674756</v>
      </c>
      <c r="BN30" s="231">
        <f t="shared" si="16"/>
        <v>113.70384115791448</v>
      </c>
      <c r="BO30" s="231">
        <f>AVERAGE(BJ30:BK30)</f>
        <v>0.31162919101549702</v>
      </c>
      <c r="BP30" s="527"/>
    </row>
    <row r="31" spans="1:68">
      <c r="A31" s="231">
        <f>A30+6</f>
        <v>271</v>
      </c>
      <c r="B31" s="523"/>
      <c r="C31" s="227"/>
      <c r="D31" s="227"/>
      <c r="E31" s="523"/>
      <c r="F31" s="534" t="s">
        <v>452</v>
      </c>
      <c r="G31" s="227" t="s">
        <v>67</v>
      </c>
      <c r="H31" s="227">
        <v>103.8</v>
      </c>
      <c r="I31" s="227">
        <v>84.2</v>
      </c>
      <c r="J31" s="227">
        <v>20.2</v>
      </c>
      <c r="K31" s="227">
        <f t="shared" ref="K31" si="147">H31-I31</f>
        <v>19.599999999999994</v>
      </c>
      <c r="L31" s="227">
        <f t="shared" ref="L31" si="148">I31-J31</f>
        <v>64</v>
      </c>
      <c r="M31" s="228">
        <f t="shared" ref="M31" si="149">K31/L31</f>
        <v>0.30624999999999991</v>
      </c>
      <c r="N31" s="521">
        <v>1.45</v>
      </c>
      <c r="O31" s="519">
        <f t="shared" si="2"/>
        <v>0.44406249999999986</v>
      </c>
      <c r="P31" s="520">
        <f t="shared" si="3"/>
        <v>0.44406249999999986</v>
      </c>
      <c r="Q31" s="527">
        <f>AVERAGE(O27:O31)</f>
        <v>0.34457677045059087</v>
      </c>
      <c r="R31" s="227"/>
      <c r="S31" s="227"/>
      <c r="T31" s="523"/>
      <c r="U31" s="534" t="s">
        <v>665</v>
      </c>
      <c r="V31" s="227" t="s">
        <v>67</v>
      </c>
      <c r="W31" s="227">
        <v>90.6</v>
      </c>
      <c r="X31" s="227">
        <v>75.7</v>
      </c>
      <c r="Y31" s="227">
        <v>23.7</v>
      </c>
      <c r="Z31" s="227">
        <f t="shared" si="138"/>
        <v>14.899999999999991</v>
      </c>
      <c r="AA31" s="227">
        <f t="shared" si="139"/>
        <v>52</v>
      </c>
      <c r="AB31" s="228">
        <f t="shared" si="140"/>
        <v>0.28653846153846135</v>
      </c>
      <c r="AC31" s="521">
        <v>1.45</v>
      </c>
      <c r="AD31" s="519">
        <f t="shared" si="114"/>
        <v>0.41548076923076893</v>
      </c>
      <c r="AE31" s="527">
        <f>AVERAGE(AD27:AD31)</f>
        <v>0.33102107157392241</v>
      </c>
      <c r="AF31" s="527">
        <f>AVERAGE(AD27:AD31)</f>
        <v>0.33102107157392241</v>
      </c>
      <c r="AG31" s="227"/>
      <c r="AH31" s="227"/>
      <c r="AI31" s="523"/>
      <c r="AJ31" s="534" t="s">
        <v>690</v>
      </c>
      <c r="AK31" s="227" t="s">
        <v>67</v>
      </c>
      <c r="AL31" s="227">
        <v>87.2</v>
      </c>
      <c r="AM31" s="227">
        <v>72.8</v>
      </c>
      <c r="AN31" s="227">
        <v>23.5</v>
      </c>
      <c r="AO31" s="227">
        <f t="shared" si="141"/>
        <v>14.400000000000006</v>
      </c>
      <c r="AP31" s="227">
        <f t="shared" si="142"/>
        <v>49.3</v>
      </c>
      <c r="AQ31" s="228">
        <f t="shared" si="143"/>
        <v>0.29208924949290072</v>
      </c>
      <c r="AR31" s="521">
        <v>1.45</v>
      </c>
      <c r="AS31" s="519">
        <f t="shared" si="118"/>
        <v>0.42352941176470604</v>
      </c>
      <c r="AT31" s="527">
        <f>AVERAGE(AS27:AS31)</f>
        <v>0.34497060500716625</v>
      </c>
      <c r="AU31" s="527">
        <f>AVERAGE(AS27:AS31)</f>
        <v>0.34497060500716625</v>
      </c>
      <c r="AV31" s="227"/>
      <c r="AW31" s="227"/>
      <c r="AX31" s="523"/>
      <c r="AY31" s="534" t="s">
        <v>690</v>
      </c>
      <c r="AZ31" s="227" t="s">
        <v>67</v>
      </c>
      <c r="BA31" s="227">
        <v>115.5</v>
      </c>
      <c r="BB31" s="227">
        <v>95</v>
      </c>
      <c r="BC31" s="227">
        <v>21.9</v>
      </c>
      <c r="BD31" s="227">
        <f t="shared" si="144"/>
        <v>20.5</v>
      </c>
      <c r="BE31" s="227">
        <f t="shared" si="145"/>
        <v>73.099999999999994</v>
      </c>
      <c r="BF31" s="228">
        <f t="shared" si="146"/>
        <v>0.28043775649794805</v>
      </c>
      <c r="BG31" s="521">
        <v>1.45</v>
      </c>
      <c r="BH31" s="519">
        <f t="shared" si="122"/>
        <v>0.40663474692202467</v>
      </c>
      <c r="BI31" s="527">
        <f>AVERAGE(AS27:AS31)</f>
        <v>0.34497060500716625</v>
      </c>
      <c r="BJ31" s="528">
        <v>0.29484602917341979</v>
      </c>
      <c r="BK31" s="527">
        <v>0.29555630252100867</v>
      </c>
      <c r="BL31" s="527">
        <v>0.25738940809968824</v>
      </c>
      <c r="BM31" s="231">
        <f t="shared" si="16"/>
        <v>99.759682557424597</v>
      </c>
      <c r="BN31" s="231">
        <f t="shared" si="16"/>
        <v>114.82846349549014</v>
      </c>
      <c r="BO31" s="231">
        <f>AVERAGE(BJ31:BK31)</f>
        <v>0.29520116584721423</v>
      </c>
      <c r="BP31" s="527"/>
    </row>
    <row r="32" spans="1:68">
      <c r="A32" s="231">
        <f>A31+6</f>
        <v>277</v>
      </c>
      <c r="B32" s="523"/>
      <c r="C32" s="227"/>
      <c r="D32" s="227"/>
      <c r="E32" s="523"/>
      <c r="F32" s="226"/>
      <c r="G32" s="227" t="s">
        <v>67</v>
      </c>
      <c r="H32" s="227"/>
      <c r="I32" s="227"/>
      <c r="J32" s="227"/>
      <c r="K32" s="227"/>
      <c r="L32" s="227"/>
      <c r="M32" s="228"/>
      <c r="N32" s="521"/>
      <c r="O32" s="519">
        <f t="shared" si="2"/>
        <v>0</v>
      </c>
      <c r="P32" s="230">
        <f t="shared" si="3"/>
        <v>0</v>
      </c>
      <c r="Q32" s="527">
        <f>AVERAGE(O27:O32)</f>
        <v>0.28714730870882571</v>
      </c>
      <c r="R32" s="227"/>
      <c r="S32" s="227"/>
      <c r="T32" s="523"/>
      <c r="U32" s="226"/>
      <c r="V32" s="227" t="s">
        <v>67</v>
      </c>
      <c r="W32" s="227"/>
      <c r="X32" s="227"/>
      <c r="Y32" s="227"/>
      <c r="Z32" s="227"/>
      <c r="AA32" s="227"/>
      <c r="AB32" s="228"/>
      <c r="AC32" s="521"/>
      <c r="AD32" s="519">
        <f t="shared" si="114"/>
        <v>0</v>
      </c>
      <c r="AE32" s="527">
        <f>AVERAGE(AD27:AD32)</f>
        <v>0.27585089297826865</v>
      </c>
      <c r="AF32" s="527">
        <f>AVERAGE(AD27:AD32)</f>
        <v>0.27585089297826865</v>
      </c>
      <c r="AG32" s="227"/>
      <c r="AH32" s="227"/>
      <c r="AI32" s="523"/>
      <c r="AJ32" s="226"/>
      <c r="AK32" s="227" t="s">
        <v>67</v>
      </c>
      <c r="AL32" s="227"/>
      <c r="AM32" s="227"/>
      <c r="AN32" s="227"/>
      <c r="AO32" s="227"/>
      <c r="AP32" s="227"/>
      <c r="AQ32" s="228"/>
      <c r="AR32" s="521"/>
      <c r="AS32" s="519">
        <f t="shared" si="118"/>
        <v>0</v>
      </c>
      <c r="AT32" s="527">
        <f>AVERAGE(AS27:AS32)</f>
        <v>0.28747550417263851</v>
      </c>
      <c r="AU32" s="527">
        <f>AVERAGE(AS27:AS32)</f>
        <v>0.28747550417263851</v>
      </c>
      <c r="AV32" s="227"/>
      <c r="AW32" s="227"/>
      <c r="AX32" s="523"/>
      <c r="AY32" s="226"/>
      <c r="AZ32" s="227" t="s">
        <v>67</v>
      </c>
      <c r="BA32" s="227"/>
      <c r="BB32" s="227"/>
      <c r="BC32" s="227"/>
      <c r="BD32" s="227"/>
      <c r="BE32" s="227"/>
      <c r="BF32" s="228"/>
      <c r="BG32" s="521"/>
      <c r="BH32" s="519">
        <f t="shared" si="122"/>
        <v>0</v>
      </c>
      <c r="BI32" s="527">
        <f>AVERAGE(AS27:AS32)</f>
        <v>0.28747550417263851</v>
      </c>
      <c r="BJ32" s="528">
        <v>0.28687765089722661</v>
      </c>
      <c r="BK32" s="527">
        <v>0.27586644407345595</v>
      </c>
      <c r="BL32" s="527">
        <v>0.24548863636363649</v>
      </c>
      <c r="BM32" s="231">
        <f t="shared" si="16"/>
        <v>103.99149916937293</v>
      </c>
      <c r="BN32" s="231">
        <f t="shared" si="16"/>
        <v>112.37442521161</v>
      </c>
      <c r="BO32" s="231">
        <f>AVERAGE(BJ32:BK32)</f>
        <v>0.28137204748534128</v>
      </c>
      <c r="BP32" s="527"/>
    </row>
    <row r="33" spans="1:68">
      <c r="B33" s="523"/>
      <c r="C33" s="227"/>
      <c r="D33" s="227"/>
      <c r="E33" s="523"/>
      <c r="F33" s="226"/>
      <c r="G33" s="227"/>
      <c r="H33" s="227"/>
      <c r="I33" s="227"/>
      <c r="J33" s="227"/>
      <c r="K33" s="227"/>
      <c r="L33" s="227"/>
      <c r="M33" s="228"/>
      <c r="N33" s="521"/>
      <c r="O33" s="519"/>
      <c r="P33" s="230"/>
      <c r="Q33" s="527"/>
      <c r="R33" s="227"/>
      <c r="S33" s="227"/>
      <c r="T33" s="523"/>
      <c r="U33" s="226"/>
      <c r="V33" s="227"/>
      <c r="W33" s="227"/>
      <c r="X33" s="227"/>
      <c r="Y33" s="227"/>
      <c r="Z33" s="227"/>
      <c r="AA33" s="227"/>
      <c r="AB33" s="228"/>
      <c r="AC33" s="521"/>
      <c r="AD33" s="519"/>
      <c r="AE33" s="527"/>
      <c r="AF33" s="527"/>
      <c r="AG33" s="227"/>
      <c r="AH33" s="227"/>
      <c r="AI33" s="523"/>
      <c r="AJ33" s="226"/>
      <c r="AK33" s="227"/>
      <c r="AL33" s="227"/>
      <c r="AM33" s="227"/>
      <c r="AN33" s="227"/>
      <c r="AO33" s="227"/>
      <c r="AP33" s="227"/>
      <c r="AQ33" s="228"/>
      <c r="AR33" s="521"/>
      <c r="AS33" s="519"/>
      <c r="AT33" s="527"/>
      <c r="AU33" s="527"/>
      <c r="AV33" s="227"/>
      <c r="AW33" s="227"/>
      <c r="AX33" s="523"/>
      <c r="AY33" s="226"/>
      <c r="AZ33" s="227"/>
      <c r="BA33" s="227"/>
      <c r="BB33" s="227"/>
      <c r="BC33" s="227"/>
      <c r="BD33" s="227"/>
      <c r="BE33" s="227"/>
      <c r="BF33" s="228"/>
      <c r="BG33" s="521"/>
      <c r="BH33" s="519"/>
      <c r="BI33" s="527"/>
      <c r="BJ33" s="528"/>
      <c r="BK33" s="527"/>
      <c r="BL33" s="527"/>
      <c r="BP33" s="527"/>
    </row>
    <row r="34" spans="1:68">
      <c r="A34" s="231">
        <v>4</v>
      </c>
      <c r="B34" s="522" t="s">
        <v>69</v>
      </c>
      <c r="C34" s="227">
        <v>2</v>
      </c>
      <c r="D34" s="227">
        <v>1</v>
      </c>
      <c r="E34" s="523"/>
      <c r="F34" s="533" t="s">
        <v>641</v>
      </c>
      <c r="G34" s="511" t="s">
        <v>59</v>
      </c>
      <c r="H34" s="509">
        <v>115</v>
      </c>
      <c r="I34" s="509">
        <v>97.9</v>
      </c>
      <c r="J34" s="509">
        <v>24</v>
      </c>
      <c r="K34" s="509">
        <f t="shared" ref="K34:K35" si="150">H34-I34</f>
        <v>17.099999999999994</v>
      </c>
      <c r="L34" s="509">
        <f t="shared" ref="L34:L35" si="151">I34-J34</f>
        <v>73.900000000000006</v>
      </c>
      <c r="M34" s="512">
        <f t="shared" ref="M34:M35" si="152">K34/L34</f>
        <v>0.23139377537212441</v>
      </c>
      <c r="N34" s="513">
        <v>1.54</v>
      </c>
      <c r="O34" s="514">
        <f t="shared" ref="O34:O35" si="153">M34*N34</f>
        <v>0.3563464140730716</v>
      </c>
      <c r="P34" s="230">
        <f t="shared" ref="P34:P63" si="154">M34*N34</f>
        <v>0.3563464140730716</v>
      </c>
      <c r="Q34" s="522" t="s">
        <v>70</v>
      </c>
      <c r="R34" s="227">
        <v>2</v>
      </c>
      <c r="S34" s="227">
        <v>1</v>
      </c>
      <c r="T34" s="523"/>
      <c r="U34" s="533" t="s">
        <v>475</v>
      </c>
      <c r="V34" s="511" t="s">
        <v>59</v>
      </c>
      <c r="W34" s="509">
        <v>113.4</v>
      </c>
      <c r="X34" s="509">
        <v>96.4</v>
      </c>
      <c r="Y34" s="509">
        <v>20.100000000000001</v>
      </c>
      <c r="Z34" s="509">
        <f t="shared" ref="Z34:Z35" si="155">W34-X34</f>
        <v>17</v>
      </c>
      <c r="AA34" s="509">
        <f t="shared" ref="AA34:AA35" si="156">X34-Y34</f>
        <v>76.300000000000011</v>
      </c>
      <c r="AB34" s="512">
        <f t="shared" ref="AB34:AB35" si="157">Z34/AA34</f>
        <v>0.22280471821756223</v>
      </c>
      <c r="AC34" s="513">
        <v>1.54</v>
      </c>
      <c r="AD34" s="514">
        <f t="shared" ref="AD34:AD35" si="158">AB34*AC34</f>
        <v>0.34311926605504584</v>
      </c>
      <c r="AF34" s="522" t="s">
        <v>258</v>
      </c>
      <c r="AG34" s="227">
        <v>2</v>
      </c>
      <c r="AH34" s="227">
        <v>1</v>
      </c>
      <c r="AI34" s="523"/>
      <c r="AJ34" s="533" t="s">
        <v>691</v>
      </c>
      <c r="AK34" s="511" t="s">
        <v>59</v>
      </c>
      <c r="AL34" s="509">
        <v>112.9</v>
      </c>
      <c r="AM34" s="509">
        <v>97.6</v>
      </c>
      <c r="AN34" s="509">
        <v>22.5</v>
      </c>
      <c r="AO34" s="509">
        <f t="shared" ref="AO34:AO35" si="159">AL34-AM34</f>
        <v>15.300000000000011</v>
      </c>
      <c r="AP34" s="509">
        <f t="shared" ref="AP34:AP35" si="160">AM34-AN34</f>
        <v>75.099999999999994</v>
      </c>
      <c r="AQ34" s="512">
        <f t="shared" ref="AQ34:AQ35" si="161">AO34/AP34</f>
        <v>0.20372836218375517</v>
      </c>
      <c r="AR34" s="513">
        <v>1.54</v>
      </c>
      <c r="AS34" s="514">
        <f t="shared" ref="AS34:AS35" si="162">AQ34*AR34</f>
        <v>0.31374167776298295</v>
      </c>
      <c r="AU34" s="522" t="s">
        <v>258</v>
      </c>
      <c r="AV34" s="227">
        <v>2</v>
      </c>
      <c r="AW34" s="227">
        <v>1</v>
      </c>
      <c r="AX34" s="523"/>
      <c r="AY34" s="533" t="s">
        <v>705</v>
      </c>
      <c r="AZ34" s="511" t="s">
        <v>59</v>
      </c>
      <c r="BA34" s="509">
        <v>120.1</v>
      </c>
      <c r="BB34" s="509">
        <v>106.1</v>
      </c>
      <c r="BC34" s="509">
        <v>25.9</v>
      </c>
      <c r="BD34" s="509">
        <f t="shared" ref="BD34:BD35" si="163">BA34-BB34</f>
        <v>14</v>
      </c>
      <c r="BE34" s="509">
        <f t="shared" ref="BE34:BE35" si="164">BB34-BC34</f>
        <v>80.199999999999989</v>
      </c>
      <c r="BF34" s="512">
        <f t="shared" ref="BF34:BF35" si="165">BD34/BE34</f>
        <v>0.17456359102244393</v>
      </c>
      <c r="BG34" s="513">
        <v>1.54</v>
      </c>
      <c r="BH34" s="514">
        <f t="shared" ref="BH34:BH35" si="166">BF34*BG34</f>
        <v>0.26882793017456363</v>
      </c>
      <c r="BJ34" s="231">
        <v>0.33315981735159805</v>
      </c>
      <c r="BK34" s="231">
        <v>0.32547542735042734</v>
      </c>
      <c r="BL34" s="231">
        <v>0.28755408388520964</v>
      </c>
      <c r="BM34" s="231">
        <f t="shared" ref="BM34:BN63" si="167">BJ34/BK34*100</f>
        <v>102.36097393395454</v>
      </c>
      <c r="BN34" s="231">
        <f t="shared" si="167"/>
        <v>113.18755169561624</v>
      </c>
      <c r="BO34" s="231">
        <f t="shared" ref="BO34:BO63" si="168">AVERAGE(BJ34:BK34)</f>
        <v>0.3293176223510127</v>
      </c>
    </row>
    <row r="35" spans="1:68">
      <c r="A35" s="231">
        <v>5</v>
      </c>
      <c r="B35" s="525" t="s">
        <v>69</v>
      </c>
      <c r="C35" s="227">
        <v>2</v>
      </c>
      <c r="D35" s="227">
        <v>2</v>
      </c>
      <c r="E35" s="523"/>
      <c r="F35" s="535" t="s">
        <v>644</v>
      </c>
      <c r="G35" s="234" t="s">
        <v>59</v>
      </c>
      <c r="H35" s="235">
        <v>117</v>
      </c>
      <c r="I35" s="235">
        <v>98.8</v>
      </c>
      <c r="J35" s="235">
        <v>23.7</v>
      </c>
      <c r="K35" s="509">
        <f t="shared" si="150"/>
        <v>18.200000000000003</v>
      </c>
      <c r="L35" s="509">
        <f t="shared" si="151"/>
        <v>75.099999999999994</v>
      </c>
      <c r="M35" s="512">
        <f t="shared" si="152"/>
        <v>0.24234354194407462</v>
      </c>
      <c r="N35" s="513">
        <v>1.54</v>
      </c>
      <c r="O35" s="514">
        <f t="shared" si="153"/>
        <v>0.37320905459387493</v>
      </c>
      <c r="P35" s="520">
        <f t="shared" si="154"/>
        <v>0.37320905459387493</v>
      </c>
      <c r="Q35" s="525" t="s">
        <v>70</v>
      </c>
      <c r="R35" s="227">
        <v>2</v>
      </c>
      <c r="S35" s="227">
        <v>2</v>
      </c>
      <c r="T35" s="523"/>
      <c r="U35" s="535" t="s">
        <v>483</v>
      </c>
      <c r="V35" s="234" t="s">
        <v>59</v>
      </c>
      <c r="W35" s="235">
        <v>96.4</v>
      </c>
      <c r="X35" s="235">
        <v>86.1</v>
      </c>
      <c r="Y35" s="235">
        <v>21.9</v>
      </c>
      <c r="Z35" s="509">
        <f t="shared" si="155"/>
        <v>10.300000000000011</v>
      </c>
      <c r="AA35" s="509">
        <f t="shared" si="156"/>
        <v>64.199999999999989</v>
      </c>
      <c r="AB35" s="512">
        <f t="shared" si="157"/>
        <v>0.1604361370716513</v>
      </c>
      <c r="AC35" s="513">
        <v>1.54</v>
      </c>
      <c r="AD35" s="514">
        <f t="shared" si="158"/>
        <v>0.24707165109034301</v>
      </c>
      <c r="AF35" s="525" t="s">
        <v>258</v>
      </c>
      <c r="AG35" s="227">
        <v>2</v>
      </c>
      <c r="AH35" s="227">
        <v>2</v>
      </c>
      <c r="AI35" s="523"/>
      <c r="AJ35" s="535" t="s">
        <v>479</v>
      </c>
      <c r="AK35" s="234" t="s">
        <v>59</v>
      </c>
      <c r="AL35" s="235">
        <v>96.6</v>
      </c>
      <c r="AM35" s="235">
        <v>84.6</v>
      </c>
      <c r="AN35" s="235">
        <v>22.4</v>
      </c>
      <c r="AO35" s="509">
        <f t="shared" si="159"/>
        <v>12</v>
      </c>
      <c r="AP35" s="509">
        <f t="shared" si="160"/>
        <v>62.199999999999996</v>
      </c>
      <c r="AQ35" s="512">
        <f t="shared" si="161"/>
        <v>0.19292604501607719</v>
      </c>
      <c r="AR35" s="513">
        <v>1.54</v>
      </c>
      <c r="AS35" s="514">
        <f t="shared" si="162"/>
        <v>0.29710610932475889</v>
      </c>
      <c r="AU35" s="525" t="s">
        <v>258</v>
      </c>
      <c r="AV35" s="227">
        <v>2</v>
      </c>
      <c r="AW35" s="227">
        <v>2</v>
      </c>
      <c r="AX35" s="523"/>
      <c r="AY35" s="535" t="s">
        <v>714</v>
      </c>
      <c r="AZ35" s="234" t="s">
        <v>59</v>
      </c>
      <c r="BA35" s="235">
        <v>113.8</v>
      </c>
      <c r="BB35" s="235">
        <v>98.6</v>
      </c>
      <c r="BC35" s="235">
        <v>22.6</v>
      </c>
      <c r="BD35" s="509">
        <f t="shared" si="163"/>
        <v>15.200000000000003</v>
      </c>
      <c r="BE35" s="509">
        <f t="shared" si="164"/>
        <v>76</v>
      </c>
      <c r="BF35" s="512">
        <f t="shared" si="165"/>
        <v>0.20000000000000004</v>
      </c>
      <c r="BG35" s="513">
        <v>1.54</v>
      </c>
      <c r="BH35" s="514">
        <f t="shared" si="166"/>
        <v>0.30800000000000005</v>
      </c>
      <c r="BJ35" s="231">
        <v>0.33980670611439828</v>
      </c>
      <c r="BK35" s="231">
        <v>0.3191150522964985</v>
      </c>
      <c r="BL35" s="231">
        <v>0.32721456582633068</v>
      </c>
      <c r="BM35" s="231">
        <f t="shared" si="167"/>
        <v>106.48407327357113</v>
      </c>
      <c r="BN35" s="231">
        <f t="shared" si="167"/>
        <v>97.52470874596365</v>
      </c>
      <c r="BO35" s="231">
        <f t="shared" si="168"/>
        <v>0.32946087920544842</v>
      </c>
    </row>
    <row r="36" spans="1:68">
      <c r="A36" s="231">
        <v>6</v>
      </c>
      <c r="B36" s="525" t="s">
        <v>69</v>
      </c>
      <c r="C36" s="227">
        <v>2</v>
      </c>
      <c r="D36" s="227">
        <v>3</v>
      </c>
      <c r="E36" s="523"/>
      <c r="F36" s="226"/>
      <c r="G36" s="226" t="s">
        <v>59</v>
      </c>
      <c r="H36" s="227"/>
      <c r="I36" s="227"/>
      <c r="J36" s="227"/>
      <c r="K36" s="227"/>
      <c r="L36" s="227"/>
      <c r="M36" s="228"/>
      <c r="N36" s="521"/>
      <c r="O36" s="519"/>
      <c r="P36" s="520">
        <f t="shared" si="154"/>
        <v>0</v>
      </c>
      <c r="Q36" s="525" t="s">
        <v>70</v>
      </c>
      <c r="R36" s="227">
        <v>2</v>
      </c>
      <c r="S36" s="227">
        <v>3</v>
      </c>
      <c r="T36" s="523"/>
      <c r="U36" s="226"/>
      <c r="V36" s="226" t="s">
        <v>59</v>
      </c>
      <c r="W36" s="227"/>
      <c r="X36" s="227"/>
      <c r="Y36" s="227"/>
      <c r="Z36" s="227"/>
      <c r="AA36" s="227"/>
      <c r="AB36" s="228"/>
      <c r="AC36" s="521"/>
      <c r="AD36" s="519"/>
      <c r="AF36" s="525" t="s">
        <v>258</v>
      </c>
      <c r="AG36" s="227">
        <v>2</v>
      </c>
      <c r="AH36" s="227">
        <v>3</v>
      </c>
      <c r="AI36" s="523"/>
      <c r="AJ36" s="226"/>
      <c r="AK36" s="226" t="s">
        <v>59</v>
      </c>
      <c r="AL36" s="227"/>
      <c r="AM36" s="227"/>
      <c r="AN36" s="227"/>
      <c r="AO36" s="227"/>
      <c r="AP36" s="227"/>
      <c r="AQ36" s="228"/>
      <c r="AR36" s="521"/>
      <c r="AS36" s="519"/>
      <c r="AU36" s="525" t="s">
        <v>258</v>
      </c>
      <c r="AV36" s="227">
        <v>2</v>
      </c>
      <c r="AW36" s="227">
        <v>3</v>
      </c>
      <c r="AX36" s="523"/>
      <c r="AY36" s="226"/>
      <c r="AZ36" s="226" t="s">
        <v>59</v>
      </c>
      <c r="BA36" s="227"/>
      <c r="BB36" s="227"/>
      <c r="BC36" s="227"/>
      <c r="BD36" s="227"/>
      <c r="BE36" s="227"/>
      <c r="BF36" s="228"/>
      <c r="BG36" s="521"/>
      <c r="BH36" s="519"/>
      <c r="BJ36" s="231">
        <v>0.31386890243902449</v>
      </c>
      <c r="BK36" s="231">
        <v>0.30323711340206194</v>
      </c>
      <c r="BL36" s="231">
        <v>0.28156501987507127</v>
      </c>
      <c r="BM36" s="231">
        <f t="shared" si="167"/>
        <v>103.50609756097562</v>
      </c>
      <c r="BN36" s="231">
        <f t="shared" si="167"/>
        <v>107.6970120566136</v>
      </c>
      <c r="BO36" s="231">
        <f t="shared" si="168"/>
        <v>0.30855300792054319</v>
      </c>
    </row>
    <row r="37" spans="1:68">
      <c r="A37" s="231">
        <v>10</v>
      </c>
      <c r="B37" s="523"/>
      <c r="C37" s="227"/>
      <c r="D37" s="227"/>
      <c r="E37" s="523"/>
      <c r="F37" s="534" t="s">
        <v>424</v>
      </c>
      <c r="G37" s="226" t="s">
        <v>262</v>
      </c>
      <c r="H37" s="227">
        <v>91.6</v>
      </c>
      <c r="I37" s="227">
        <v>80.900000000000006</v>
      </c>
      <c r="J37" s="227">
        <v>20.7</v>
      </c>
      <c r="K37" s="227">
        <f t="shared" ref="K37:K38" si="169">H37-I37</f>
        <v>10.699999999999989</v>
      </c>
      <c r="L37" s="227">
        <f t="shared" ref="L37:L38" si="170">I37-J37</f>
        <v>60.2</v>
      </c>
      <c r="M37" s="228">
        <f t="shared" ref="M37:M38" si="171">K37/L37</f>
        <v>0.17774086378737522</v>
      </c>
      <c r="N37" s="521">
        <v>1.48</v>
      </c>
      <c r="O37" s="519">
        <f t="shared" ref="O37:O38" si="172">M37*N37</f>
        <v>0.26305647840531532</v>
      </c>
      <c r="P37" s="230">
        <f t="shared" si="154"/>
        <v>0.26305647840531532</v>
      </c>
      <c r="Q37" s="523"/>
      <c r="R37" s="227"/>
      <c r="S37" s="227"/>
      <c r="T37" s="523"/>
      <c r="U37" s="534" t="s">
        <v>666</v>
      </c>
      <c r="V37" s="226" t="s">
        <v>262</v>
      </c>
      <c r="W37" s="227">
        <v>108.2</v>
      </c>
      <c r="X37" s="227">
        <v>96.2</v>
      </c>
      <c r="Y37" s="227">
        <v>24.2</v>
      </c>
      <c r="Z37" s="227">
        <f t="shared" ref="Z37:Z38" si="173">W37-X37</f>
        <v>12</v>
      </c>
      <c r="AA37" s="227">
        <f t="shared" ref="AA37:AA38" si="174">X37-Y37</f>
        <v>72</v>
      </c>
      <c r="AB37" s="228">
        <f t="shared" ref="AB37:AB38" si="175">Z37/AA37</f>
        <v>0.16666666666666666</v>
      </c>
      <c r="AC37" s="521">
        <v>1.48</v>
      </c>
      <c r="AD37" s="519">
        <f t="shared" ref="AD37:AD38" si="176">AB37*AC37</f>
        <v>0.24666666666666665</v>
      </c>
      <c r="AF37" s="523"/>
      <c r="AG37" s="227"/>
      <c r="AH37" s="227"/>
      <c r="AI37" s="523"/>
      <c r="AJ37" s="534" t="s">
        <v>692</v>
      </c>
      <c r="AK37" s="226" t="s">
        <v>262</v>
      </c>
      <c r="AL37" s="227">
        <v>107.8</v>
      </c>
      <c r="AM37" s="227">
        <v>96</v>
      </c>
      <c r="AN37" s="227">
        <v>26.7</v>
      </c>
      <c r="AO37" s="227">
        <f t="shared" ref="AO37:AO38" si="177">AL37-AM37</f>
        <v>11.799999999999997</v>
      </c>
      <c r="AP37" s="227">
        <f t="shared" ref="AP37:AP38" si="178">AM37-AN37</f>
        <v>69.3</v>
      </c>
      <c r="AQ37" s="228">
        <f t="shared" ref="AQ37:AQ38" si="179">AO37/AP37</f>
        <v>0.17027417027417024</v>
      </c>
      <c r="AR37" s="521">
        <v>1.48</v>
      </c>
      <c r="AS37" s="519">
        <f t="shared" ref="AS37:AS38" si="180">AQ37*AR37</f>
        <v>0.25200577200577196</v>
      </c>
      <c r="AU37" s="523"/>
      <c r="AV37" s="227"/>
      <c r="AW37" s="227"/>
      <c r="AX37" s="523"/>
      <c r="AY37" s="534" t="s">
        <v>706</v>
      </c>
      <c r="AZ37" s="226" t="s">
        <v>262</v>
      </c>
      <c r="BA37" s="227">
        <v>90</v>
      </c>
      <c r="BB37" s="227">
        <v>79.099999999999994</v>
      </c>
      <c r="BC37" s="227">
        <v>20.8</v>
      </c>
      <c r="BD37" s="227">
        <f t="shared" ref="BD37:BD38" si="181">BA37-BB37</f>
        <v>10.900000000000006</v>
      </c>
      <c r="BE37" s="227">
        <f t="shared" ref="BE37:BE38" si="182">BB37-BC37</f>
        <v>58.3</v>
      </c>
      <c r="BF37" s="228">
        <f t="shared" ref="BF37:BF38" si="183">BD37/BE37</f>
        <v>0.1869639794168097</v>
      </c>
      <c r="BG37" s="521">
        <v>1.48</v>
      </c>
      <c r="BH37" s="519">
        <f t="shared" ref="BH37:BH38" si="184">BF37*BG37</f>
        <v>0.27670668953687838</v>
      </c>
      <c r="BJ37" s="231">
        <v>0.28041601664066573</v>
      </c>
      <c r="BK37" s="231">
        <v>0.28138769670958536</v>
      </c>
      <c r="BL37" s="231">
        <v>0.26183908045977022</v>
      </c>
      <c r="BM37" s="231">
        <f t="shared" si="167"/>
        <v>99.654682816526091</v>
      </c>
      <c r="BN37" s="231">
        <f t="shared" si="167"/>
        <v>107.46588943693554</v>
      </c>
      <c r="BO37" s="231">
        <f t="shared" si="168"/>
        <v>0.28090185667512557</v>
      </c>
    </row>
    <row r="38" spans="1:68">
      <c r="A38" s="231">
        <v>11</v>
      </c>
      <c r="B38" s="523"/>
      <c r="C38" s="227"/>
      <c r="D38" s="227"/>
      <c r="E38" s="523"/>
      <c r="F38" s="534" t="s">
        <v>645</v>
      </c>
      <c r="G38" s="226" t="s">
        <v>262</v>
      </c>
      <c r="H38" s="227">
        <v>125.9</v>
      </c>
      <c r="I38" s="227">
        <v>110.8</v>
      </c>
      <c r="J38" s="227">
        <v>29.2</v>
      </c>
      <c r="K38" s="227">
        <f t="shared" si="169"/>
        <v>15.100000000000009</v>
      </c>
      <c r="L38" s="227">
        <f t="shared" si="170"/>
        <v>81.599999999999994</v>
      </c>
      <c r="M38" s="228">
        <f t="shared" si="171"/>
        <v>0.18504901960784326</v>
      </c>
      <c r="N38" s="521">
        <v>1.48</v>
      </c>
      <c r="O38" s="519">
        <f t="shared" si="172"/>
        <v>0.273872549019608</v>
      </c>
      <c r="P38" s="520">
        <f t="shared" si="154"/>
        <v>0.273872549019608</v>
      </c>
      <c r="Q38" s="523"/>
      <c r="R38" s="227"/>
      <c r="S38" s="227"/>
      <c r="T38" s="523"/>
      <c r="U38" s="534" t="s">
        <v>671</v>
      </c>
      <c r="V38" s="226" t="s">
        <v>262</v>
      </c>
      <c r="W38" s="227">
        <v>108</v>
      </c>
      <c r="X38" s="227">
        <v>95.9</v>
      </c>
      <c r="Y38" s="227">
        <v>29.8</v>
      </c>
      <c r="Z38" s="227">
        <f t="shared" si="173"/>
        <v>12.099999999999994</v>
      </c>
      <c r="AA38" s="227">
        <f t="shared" si="174"/>
        <v>66.100000000000009</v>
      </c>
      <c r="AB38" s="228">
        <f t="shared" si="175"/>
        <v>0.18305597579425104</v>
      </c>
      <c r="AC38" s="521">
        <v>1.48</v>
      </c>
      <c r="AD38" s="519">
        <f t="shared" si="176"/>
        <v>0.27092284417549151</v>
      </c>
      <c r="AE38" s="505"/>
      <c r="AF38" s="523"/>
      <c r="AG38" s="227"/>
      <c r="AH38" s="227"/>
      <c r="AI38" s="523"/>
      <c r="AJ38" s="534" t="s">
        <v>446</v>
      </c>
      <c r="AK38" s="226" t="s">
        <v>262</v>
      </c>
      <c r="AL38" s="227">
        <v>108.1</v>
      </c>
      <c r="AM38" s="227">
        <v>95.5</v>
      </c>
      <c r="AN38" s="227">
        <v>22.5</v>
      </c>
      <c r="AO38" s="227">
        <f t="shared" si="177"/>
        <v>12.599999999999994</v>
      </c>
      <c r="AP38" s="227">
        <f t="shared" si="178"/>
        <v>73</v>
      </c>
      <c r="AQ38" s="228">
        <f t="shared" si="179"/>
        <v>0.17260273972602733</v>
      </c>
      <c r="AR38" s="521">
        <v>1.48</v>
      </c>
      <c r="AS38" s="519">
        <f t="shared" si="180"/>
        <v>0.25545205479452043</v>
      </c>
      <c r="AT38" s="505"/>
      <c r="AU38" s="523"/>
      <c r="AV38" s="227"/>
      <c r="AW38" s="227"/>
      <c r="AX38" s="523"/>
      <c r="AY38" s="534" t="s">
        <v>506</v>
      </c>
      <c r="AZ38" s="226" t="s">
        <v>262</v>
      </c>
      <c r="BA38" s="227">
        <v>101.6</v>
      </c>
      <c r="BB38" s="227">
        <v>89.5</v>
      </c>
      <c r="BC38" s="227">
        <v>22.6</v>
      </c>
      <c r="BD38" s="227">
        <f t="shared" si="181"/>
        <v>12.099999999999994</v>
      </c>
      <c r="BE38" s="227">
        <f t="shared" si="182"/>
        <v>66.900000000000006</v>
      </c>
      <c r="BF38" s="228">
        <f t="shared" si="183"/>
        <v>0.18086696562032875</v>
      </c>
      <c r="BG38" s="521">
        <v>1.48</v>
      </c>
      <c r="BH38" s="519">
        <f t="shared" si="184"/>
        <v>0.26768310911808657</v>
      </c>
      <c r="BI38" s="505"/>
      <c r="BJ38" s="227">
        <v>0.29172490293954534</v>
      </c>
      <c r="BK38" s="505">
        <v>0.27829629629629599</v>
      </c>
      <c r="BL38" s="505">
        <v>0.2860317460317463</v>
      </c>
      <c r="BM38" s="231">
        <f t="shared" si="167"/>
        <v>104.82529118136456</v>
      </c>
      <c r="BN38" s="231">
        <f t="shared" si="167"/>
        <v>97.295597484276527</v>
      </c>
      <c r="BO38" s="231">
        <f t="shared" si="168"/>
        <v>0.28501059961792063</v>
      </c>
      <c r="BP38" s="505"/>
    </row>
    <row r="39" spans="1:68">
      <c r="A39" s="231">
        <v>12</v>
      </c>
      <c r="B39" s="526"/>
      <c r="C39" s="235"/>
      <c r="D39" s="235"/>
      <c r="E39" s="517"/>
      <c r="F39" s="226"/>
      <c r="G39" s="226" t="s">
        <v>262</v>
      </c>
      <c r="H39" s="227"/>
      <c r="I39" s="227"/>
      <c r="J39" s="227"/>
      <c r="K39" s="227"/>
      <c r="L39" s="227"/>
      <c r="M39" s="228"/>
      <c r="N39" s="521"/>
      <c r="O39" s="519"/>
      <c r="P39" s="520">
        <f t="shared" si="154"/>
        <v>0</v>
      </c>
      <c r="Q39" s="526"/>
      <c r="R39" s="235"/>
      <c r="S39" s="235"/>
      <c r="T39" s="517"/>
      <c r="U39" s="226"/>
      <c r="V39" s="226" t="s">
        <v>262</v>
      </c>
      <c r="W39" s="227"/>
      <c r="X39" s="227"/>
      <c r="Y39" s="227"/>
      <c r="Z39" s="227"/>
      <c r="AA39" s="227"/>
      <c r="AB39" s="228"/>
      <c r="AC39" s="521"/>
      <c r="AD39" s="519"/>
      <c r="AF39" s="526"/>
      <c r="AG39" s="235"/>
      <c r="AH39" s="235"/>
      <c r="AI39" s="517"/>
      <c r="AJ39" s="226"/>
      <c r="AK39" s="226" t="s">
        <v>262</v>
      </c>
      <c r="AL39" s="227"/>
      <c r="AM39" s="227"/>
      <c r="AN39" s="227"/>
      <c r="AO39" s="227"/>
      <c r="AP39" s="227"/>
      <c r="AQ39" s="228"/>
      <c r="AR39" s="521"/>
      <c r="AS39" s="519"/>
      <c r="AU39" s="526"/>
      <c r="AV39" s="235"/>
      <c r="AW39" s="235"/>
      <c r="AX39" s="517"/>
      <c r="AY39" s="226"/>
      <c r="AZ39" s="226" t="s">
        <v>262</v>
      </c>
      <c r="BA39" s="227"/>
      <c r="BB39" s="227"/>
      <c r="BC39" s="227"/>
      <c r="BD39" s="227"/>
      <c r="BE39" s="227"/>
      <c r="BF39" s="228"/>
      <c r="BG39" s="521"/>
      <c r="BH39" s="519"/>
      <c r="BJ39" s="231">
        <v>0.26525252525252513</v>
      </c>
      <c r="BK39" s="231">
        <v>0.27564017660044143</v>
      </c>
      <c r="BL39" s="231">
        <v>0.28679389312977066</v>
      </c>
      <c r="BM39" s="231">
        <f t="shared" si="167"/>
        <v>96.231445112236344</v>
      </c>
      <c r="BN39" s="231">
        <f t="shared" si="167"/>
        <v>96.110894689001512</v>
      </c>
      <c r="BO39" s="231">
        <f t="shared" si="168"/>
        <v>0.27044635092648328</v>
      </c>
    </row>
    <row r="40" spans="1:68">
      <c r="A40" s="231">
        <f>A11+6</f>
        <v>31</v>
      </c>
      <c r="B40" s="523"/>
      <c r="C40" s="227"/>
      <c r="D40" s="227"/>
      <c r="E40" s="523"/>
      <c r="F40" s="534" t="s">
        <v>450</v>
      </c>
      <c r="G40" s="226" t="s">
        <v>60</v>
      </c>
      <c r="H40" s="227">
        <v>111.4</v>
      </c>
      <c r="I40" s="227">
        <v>102.2</v>
      </c>
      <c r="J40" s="227">
        <v>22.8</v>
      </c>
      <c r="K40" s="227">
        <f t="shared" ref="K40:K41" si="185">H40-I40</f>
        <v>9.2000000000000028</v>
      </c>
      <c r="L40" s="227">
        <f t="shared" ref="L40:L41" si="186">I40-J40</f>
        <v>79.400000000000006</v>
      </c>
      <c r="M40" s="228">
        <f t="shared" ref="M40:M41" si="187">K40/L40</f>
        <v>0.11586901763224185</v>
      </c>
      <c r="N40" s="521">
        <v>1.7</v>
      </c>
      <c r="O40" s="519">
        <f t="shared" ref="O40:O41" si="188">M40*N40</f>
        <v>0.19697732997481113</v>
      </c>
      <c r="P40" s="230">
        <f t="shared" si="154"/>
        <v>0.19697732997481113</v>
      </c>
      <c r="Q40" s="523"/>
      <c r="R40" s="227"/>
      <c r="S40" s="227"/>
      <c r="T40" s="523"/>
      <c r="U40" s="534" t="s">
        <v>667</v>
      </c>
      <c r="V40" s="226" t="s">
        <v>60</v>
      </c>
      <c r="W40" s="227">
        <v>116.7</v>
      </c>
      <c r="X40" s="227">
        <v>104.6</v>
      </c>
      <c r="Y40" s="227">
        <v>28.3</v>
      </c>
      <c r="Z40" s="227">
        <f t="shared" ref="Z40:Z41" si="189">W40-X40</f>
        <v>12.100000000000009</v>
      </c>
      <c r="AA40" s="227">
        <f t="shared" ref="AA40:AA41" si="190">X40-Y40</f>
        <v>76.3</v>
      </c>
      <c r="AB40" s="228">
        <f t="shared" ref="AB40:AB41" si="191">Z40/AA40</f>
        <v>0.15858453473132383</v>
      </c>
      <c r="AC40" s="521">
        <v>1.7</v>
      </c>
      <c r="AD40" s="519">
        <f t="shared" ref="AD40:AD41" si="192">AB40*AC40</f>
        <v>0.26959370904325053</v>
      </c>
      <c r="AF40" s="523"/>
      <c r="AG40" s="227"/>
      <c r="AH40" s="227"/>
      <c r="AI40" s="523"/>
      <c r="AJ40" s="534" t="s">
        <v>278</v>
      </c>
      <c r="AK40" s="226" t="s">
        <v>60</v>
      </c>
      <c r="AL40" s="227">
        <v>100.9</v>
      </c>
      <c r="AM40" s="227">
        <v>90</v>
      </c>
      <c r="AN40" s="227">
        <v>23.4</v>
      </c>
      <c r="AO40" s="227">
        <f t="shared" ref="AO40:AO41" si="193">AL40-AM40</f>
        <v>10.900000000000006</v>
      </c>
      <c r="AP40" s="227">
        <f t="shared" ref="AP40:AP41" si="194">AM40-AN40</f>
        <v>66.599999999999994</v>
      </c>
      <c r="AQ40" s="228">
        <f t="shared" ref="AQ40:AQ41" si="195">AO40/AP40</f>
        <v>0.16366366366366375</v>
      </c>
      <c r="AR40" s="521">
        <v>1.7</v>
      </c>
      <c r="AS40" s="519">
        <f t="shared" ref="AS40:AS41" si="196">AQ40*AR40</f>
        <v>0.27822822822822835</v>
      </c>
      <c r="AU40" s="523"/>
      <c r="AV40" s="227"/>
      <c r="AW40" s="227"/>
      <c r="AX40" s="523"/>
      <c r="AY40" s="534" t="s">
        <v>707</v>
      </c>
      <c r="AZ40" s="226" t="s">
        <v>60</v>
      </c>
      <c r="BA40" s="227">
        <v>100.1</v>
      </c>
      <c r="BB40" s="227">
        <v>89.6</v>
      </c>
      <c r="BC40" s="227">
        <v>24.7</v>
      </c>
      <c r="BD40" s="227">
        <f t="shared" ref="BD40:BD41" si="197">BA40-BB40</f>
        <v>10.5</v>
      </c>
      <c r="BE40" s="227">
        <f t="shared" ref="BE40:BE41" si="198">BB40-BC40</f>
        <v>64.899999999999991</v>
      </c>
      <c r="BF40" s="228">
        <f t="shared" ref="BF40:BF41" si="199">BD40/BE40</f>
        <v>0.16178736517719572</v>
      </c>
      <c r="BG40" s="521">
        <v>1.7</v>
      </c>
      <c r="BH40" s="519">
        <f t="shared" ref="BH40:BH41" si="200">BF40*BG40</f>
        <v>0.2750385208012327</v>
      </c>
      <c r="BJ40" s="231">
        <v>0.31080392156862774</v>
      </c>
      <c r="BK40" s="231">
        <v>0.30655782312925206</v>
      </c>
      <c r="BL40" s="231">
        <v>0.28505599999999992</v>
      </c>
      <c r="BM40" s="231">
        <f t="shared" si="167"/>
        <v>101.38508891928862</v>
      </c>
      <c r="BN40" s="231">
        <f t="shared" si="167"/>
        <v>107.54301720688291</v>
      </c>
      <c r="BO40" s="231">
        <f t="shared" si="168"/>
        <v>0.30868087234893993</v>
      </c>
    </row>
    <row r="41" spans="1:68">
      <c r="A41" s="231">
        <f>A40+6</f>
        <v>37</v>
      </c>
      <c r="B41" s="523"/>
      <c r="C41" s="227"/>
      <c r="D41" s="227"/>
      <c r="E41" s="523"/>
      <c r="F41" s="534" t="s">
        <v>430</v>
      </c>
      <c r="G41" s="226" t="s">
        <v>60</v>
      </c>
      <c r="H41" s="227">
        <v>105.4</v>
      </c>
      <c r="I41" s="227">
        <v>92.6</v>
      </c>
      <c r="J41" s="227">
        <v>21.9</v>
      </c>
      <c r="K41" s="227">
        <f t="shared" si="185"/>
        <v>12.800000000000011</v>
      </c>
      <c r="L41" s="227">
        <f t="shared" si="186"/>
        <v>70.699999999999989</v>
      </c>
      <c r="M41" s="228">
        <f t="shared" si="187"/>
        <v>0.18104667609618125</v>
      </c>
      <c r="N41" s="521">
        <v>1.7</v>
      </c>
      <c r="O41" s="519">
        <f t="shared" si="188"/>
        <v>0.30777934936350809</v>
      </c>
      <c r="P41" s="520">
        <f t="shared" si="154"/>
        <v>0.30777934936350809</v>
      </c>
      <c r="Q41" s="523"/>
      <c r="R41" s="227"/>
      <c r="S41" s="227"/>
      <c r="T41" s="523"/>
      <c r="U41" s="534" t="s">
        <v>672</v>
      </c>
      <c r="V41" s="226" t="s">
        <v>60</v>
      </c>
      <c r="W41" s="227">
        <v>109.3</v>
      </c>
      <c r="X41" s="227">
        <v>97.8</v>
      </c>
      <c r="Y41" s="227">
        <v>29.9</v>
      </c>
      <c r="Z41" s="227">
        <f t="shared" si="189"/>
        <v>11.5</v>
      </c>
      <c r="AA41" s="227">
        <f t="shared" si="190"/>
        <v>67.900000000000006</v>
      </c>
      <c r="AB41" s="228">
        <f t="shared" si="191"/>
        <v>0.16936671575846832</v>
      </c>
      <c r="AC41" s="521">
        <v>1.7</v>
      </c>
      <c r="AD41" s="519">
        <f t="shared" si="192"/>
        <v>0.28792341678939615</v>
      </c>
      <c r="AF41" s="523"/>
      <c r="AG41" s="227"/>
      <c r="AH41" s="227"/>
      <c r="AI41" s="523"/>
      <c r="AJ41" s="534" t="s">
        <v>267</v>
      </c>
      <c r="AK41" s="226" t="s">
        <v>60</v>
      </c>
      <c r="AL41" s="227">
        <v>89.6</v>
      </c>
      <c r="AM41" s="227">
        <v>80.400000000000006</v>
      </c>
      <c r="AN41" s="227">
        <v>25.6</v>
      </c>
      <c r="AO41" s="227">
        <f t="shared" si="193"/>
        <v>9.1999999999999886</v>
      </c>
      <c r="AP41" s="227">
        <f t="shared" si="194"/>
        <v>54.800000000000004</v>
      </c>
      <c r="AQ41" s="228">
        <f t="shared" si="195"/>
        <v>0.16788321167883188</v>
      </c>
      <c r="AR41" s="521">
        <v>1.7</v>
      </c>
      <c r="AS41" s="519">
        <f t="shared" si="196"/>
        <v>0.28540145985401422</v>
      </c>
      <c r="AU41" s="523"/>
      <c r="AV41" s="227"/>
      <c r="AW41" s="227"/>
      <c r="AX41" s="523"/>
      <c r="AY41" s="534" t="s">
        <v>715</v>
      </c>
      <c r="AZ41" s="226" t="s">
        <v>60</v>
      </c>
      <c r="BA41" s="227">
        <v>101.6</v>
      </c>
      <c r="BB41" s="227">
        <v>91</v>
      </c>
      <c r="BC41" s="227">
        <v>25.7</v>
      </c>
      <c r="BD41" s="227">
        <f t="shared" si="197"/>
        <v>10.599999999999994</v>
      </c>
      <c r="BE41" s="227">
        <f t="shared" si="198"/>
        <v>65.3</v>
      </c>
      <c r="BF41" s="228">
        <f t="shared" si="199"/>
        <v>0.16232771822358338</v>
      </c>
      <c r="BG41" s="521">
        <v>1.7</v>
      </c>
      <c r="BH41" s="519">
        <f t="shared" si="200"/>
        <v>0.27595712098009173</v>
      </c>
      <c r="BJ41" s="231">
        <v>0.31068243243243254</v>
      </c>
      <c r="BK41" s="231">
        <v>0.31581941309255102</v>
      </c>
      <c r="BL41" s="231">
        <v>0.29032432432432392</v>
      </c>
      <c r="BM41" s="231">
        <f t="shared" si="167"/>
        <v>98.373443668387452</v>
      </c>
      <c r="BN41" s="231">
        <f t="shared" si="167"/>
        <v>108.78158894455785</v>
      </c>
      <c r="BO41" s="231">
        <f t="shared" si="168"/>
        <v>0.31325092276249178</v>
      </c>
    </row>
    <row r="42" spans="1:68">
      <c r="A42" s="231">
        <f>A41+6</f>
        <v>43</v>
      </c>
      <c r="B42" s="523"/>
      <c r="C42" s="227"/>
      <c r="D42" s="227"/>
      <c r="E42" s="523"/>
      <c r="F42" s="226"/>
      <c r="G42" s="226" t="s">
        <v>60</v>
      </c>
      <c r="H42" s="227"/>
      <c r="I42" s="227"/>
      <c r="J42" s="227"/>
      <c r="K42" s="227"/>
      <c r="L42" s="227"/>
      <c r="M42" s="228"/>
      <c r="N42" s="521"/>
      <c r="O42" s="519"/>
      <c r="P42" s="520">
        <f t="shared" si="154"/>
        <v>0</v>
      </c>
      <c r="Q42" s="523"/>
      <c r="R42" s="227"/>
      <c r="S42" s="227"/>
      <c r="T42" s="523"/>
      <c r="U42" s="226"/>
      <c r="V42" s="226" t="s">
        <v>60</v>
      </c>
      <c r="W42" s="227"/>
      <c r="X42" s="227"/>
      <c r="Y42" s="227"/>
      <c r="Z42" s="227"/>
      <c r="AA42" s="227"/>
      <c r="AB42" s="228"/>
      <c r="AC42" s="521"/>
      <c r="AD42" s="519"/>
      <c r="AF42" s="523"/>
      <c r="AG42" s="227"/>
      <c r="AH42" s="227"/>
      <c r="AI42" s="523"/>
      <c r="AJ42" s="226"/>
      <c r="AK42" s="226" t="s">
        <v>60</v>
      </c>
      <c r="AL42" s="227"/>
      <c r="AM42" s="227"/>
      <c r="AN42" s="227"/>
      <c r="AO42" s="227"/>
      <c r="AP42" s="227"/>
      <c r="AQ42" s="228"/>
      <c r="AR42" s="521"/>
      <c r="AS42" s="519"/>
      <c r="AU42" s="523"/>
      <c r="AV42" s="227"/>
      <c r="AW42" s="227"/>
      <c r="AX42" s="523"/>
      <c r="AY42" s="226"/>
      <c r="AZ42" s="226" t="s">
        <v>60</v>
      </c>
      <c r="BA42" s="227"/>
      <c r="BB42" s="227"/>
      <c r="BC42" s="227"/>
      <c r="BD42" s="227"/>
      <c r="BE42" s="227"/>
      <c r="BF42" s="228"/>
      <c r="BG42" s="521"/>
      <c r="BH42" s="519"/>
      <c r="BJ42" s="231">
        <v>0.31373248407643339</v>
      </c>
      <c r="BK42" s="231">
        <v>0.31912781954887209</v>
      </c>
      <c r="BL42" s="231">
        <v>0.28873469387755107</v>
      </c>
      <c r="BM42" s="231">
        <f t="shared" si="167"/>
        <v>98.309349689392263</v>
      </c>
      <c r="BN42" s="231">
        <f t="shared" si="167"/>
        <v>110.52631578947363</v>
      </c>
      <c r="BO42" s="231">
        <f t="shared" si="168"/>
        <v>0.31643015181265277</v>
      </c>
    </row>
    <row r="43" spans="1:68">
      <c r="A43" s="231">
        <f>A14+6</f>
        <v>67</v>
      </c>
      <c r="B43" s="526"/>
      <c r="C43" s="235"/>
      <c r="D43" s="235"/>
      <c r="E43" s="517"/>
      <c r="F43" s="534" t="s">
        <v>485</v>
      </c>
      <c r="G43" s="226" t="s">
        <v>61</v>
      </c>
      <c r="H43" s="227">
        <v>106</v>
      </c>
      <c r="I43" s="227">
        <v>93.5</v>
      </c>
      <c r="J43" s="227">
        <v>21.9</v>
      </c>
      <c r="K43" s="227">
        <f t="shared" ref="K43:K44" si="201">H43-I43</f>
        <v>12.5</v>
      </c>
      <c r="L43" s="227">
        <f t="shared" ref="L43:L44" si="202">I43-J43</f>
        <v>71.599999999999994</v>
      </c>
      <c r="M43" s="228">
        <f t="shared" ref="M43:M44" si="203">K43/L43</f>
        <v>0.1745810055865922</v>
      </c>
      <c r="N43" s="521">
        <v>1.69</v>
      </c>
      <c r="O43" s="519">
        <f t="shared" ref="O43:O44" si="204">M43*N43</f>
        <v>0.29504189944134079</v>
      </c>
      <c r="P43" s="230">
        <f t="shared" si="154"/>
        <v>0.29504189944134079</v>
      </c>
      <c r="Q43" s="526"/>
      <c r="R43" s="235"/>
      <c r="S43" s="235"/>
      <c r="T43" s="517"/>
      <c r="U43" s="534" t="s">
        <v>405</v>
      </c>
      <c r="V43" s="226" t="s">
        <v>61</v>
      </c>
      <c r="W43" s="227">
        <v>108.7</v>
      </c>
      <c r="X43" s="227">
        <v>97.3</v>
      </c>
      <c r="Y43" s="227">
        <v>24</v>
      </c>
      <c r="Z43" s="227">
        <f t="shared" ref="Z43:Z44" si="205">W43-X43</f>
        <v>11.400000000000006</v>
      </c>
      <c r="AA43" s="227">
        <f t="shared" ref="AA43:AA44" si="206">X43-Y43</f>
        <v>73.3</v>
      </c>
      <c r="AB43" s="228">
        <f t="shared" ref="AB43:AB44" si="207">Z43/AA43</f>
        <v>0.15552523874488411</v>
      </c>
      <c r="AC43" s="521">
        <v>1.69</v>
      </c>
      <c r="AD43" s="519">
        <f t="shared" ref="AD43:AD44" si="208">AB43*AC43</f>
        <v>0.26283765347885413</v>
      </c>
      <c r="AF43" s="526"/>
      <c r="AG43" s="235"/>
      <c r="AH43" s="235"/>
      <c r="AI43" s="517"/>
      <c r="AJ43" s="534" t="s">
        <v>491</v>
      </c>
      <c r="AK43" s="226" t="s">
        <v>61</v>
      </c>
      <c r="AL43" s="227">
        <v>94.5</v>
      </c>
      <c r="AM43" s="227">
        <v>84</v>
      </c>
      <c r="AN43" s="227">
        <v>22.2</v>
      </c>
      <c r="AO43" s="227">
        <f t="shared" ref="AO43:AO44" si="209">AL43-AM43</f>
        <v>10.5</v>
      </c>
      <c r="AP43" s="227">
        <f t="shared" ref="AP43:AP44" si="210">AM43-AN43</f>
        <v>61.8</v>
      </c>
      <c r="AQ43" s="228">
        <f t="shared" ref="AQ43:AQ44" si="211">AO43/AP43</f>
        <v>0.16990291262135923</v>
      </c>
      <c r="AR43" s="521">
        <v>1.69</v>
      </c>
      <c r="AS43" s="519">
        <f t="shared" ref="AS43:AS44" si="212">AQ43*AR43</f>
        <v>0.2871359223300971</v>
      </c>
      <c r="AU43" s="526"/>
      <c r="AV43" s="235"/>
      <c r="AW43" s="235"/>
      <c r="AX43" s="517"/>
      <c r="AY43" s="534" t="s">
        <v>708</v>
      </c>
      <c r="AZ43" s="226" t="s">
        <v>61</v>
      </c>
      <c r="BA43" s="227">
        <v>100.5</v>
      </c>
      <c r="BB43" s="227">
        <v>90</v>
      </c>
      <c r="BC43" s="227">
        <v>25</v>
      </c>
      <c r="BD43" s="227">
        <f t="shared" ref="BD43:BD44" si="213">BA43-BB43</f>
        <v>10.5</v>
      </c>
      <c r="BE43" s="227">
        <f t="shared" ref="BE43:BE44" si="214">BB43-BC43</f>
        <v>65</v>
      </c>
      <c r="BF43" s="228">
        <f t="shared" ref="BF43:BF44" si="215">BD43/BE43</f>
        <v>0.16153846153846155</v>
      </c>
      <c r="BG43" s="521">
        <v>1.69</v>
      </c>
      <c r="BH43" s="519">
        <f t="shared" ref="BH43:BH44" si="216">BF43*BG43</f>
        <v>0.27300000000000002</v>
      </c>
      <c r="BJ43" s="231">
        <v>0.40342049469964686</v>
      </c>
      <c r="BK43" s="231">
        <v>0.433021978021978</v>
      </c>
      <c r="BL43" s="231">
        <v>0.34079999999999977</v>
      </c>
      <c r="BM43" s="231">
        <f t="shared" si="167"/>
        <v>93.163976697545664</v>
      </c>
      <c r="BN43" s="231">
        <f t="shared" si="167"/>
        <v>127.06043956043965</v>
      </c>
      <c r="BO43" s="231">
        <f t="shared" si="168"/>
        <v>0.41822123636081243</v>
      </c>
    </row>
    <row r="44" spans="1:68">
      <c r="A44" s="231">
        <f>A43+6</f>
        <v>73</v>
      </c>
      <c r="B44" s="515"/>
      <c r="C44" s="227"/>
      <c r="D44" s="227"/>
      <c r="E44" s="523"/>
      <c r="F44" s="534" t="s">
        <v>646</v>
      </c>
      <c r="G44" s="226" t="s">
        <v>61</v>
      </c>
      <c r="H44" s="227">
        <v>95.4</v>
      </c>
      <c r="I44" s="227">
        <v>85.3</v>
      </c>
      <c r="J44" s="227">
        <v>23.6</v>
      </c>
      <c r="K44" s="227">
        <f t="shared" si="201"/>
        <v>10.100000000000009</v>
      </c>
      <c r="L44" s="227">
        <f t="shared" si="202"/>
        <v>61.699999999999996</v>
      </c>
      <c r="M44" s="228">
        <f t="shared" si="203"/>
        <v>0.16369529983792561</v>
      </c>
      <c r="N44" s="521">
        <v>1.69</v>
      </c>
      <c r="O44" s="519">
        <f t="shared" si="204"/>
        <v>0.27664505672609424</v>
      </c>
      <c r="P44" s="520">
        <f t="shared" si="154"/>
        <v>0.27664505672609424</v>
      </c>
      <c r="Q44" s="515"/>
      <c r="R44" s="227"/>
      <c r="S44" s="227"/>
      <c r="T44" s="523"/>
      <c r="U44" s="534" t="s">
        <v>461</v>
      </c>
      <c r="V44" s="226" t="s">
        <v>61</v>
      </c>
      <c r="W44" s="227">
        <v>98.3</v>
      </c>
      <c r="X44" s="227">
        <v>87.2</v>
      </c>
      <c r="Y44" s="227">
        <v>22.6</v>
      </c>
      <c r="Z44" s="227">
        <f t="shared" si="205"/>
        <v>11.099999999999994</v>
      </c>
      <c r="AA44" s="227">
        <f t="shared" si="206"/>
        <v>64.599999999999994</v>
      </c>
      <c r="AB44" s="228">
        <f t="shared" si="207"/>
        <v>0.17182662538699683</v>
      </c>
      <c r="AC44" s="521">
        <v>1.69</v>
      </c>
      <c r="AD44" s="519">
        <f t="shared" si="208"/>
        <v>0.29038699690402464</v>
      </c>
      <c r="AF44" s="515"/>
      <c r="AG44" s="227"/>
      <c r="AH44" s="227"/>
      <c r="AI44" s="523"/>
      <c r="AJ44" s="534" t="s">
        <v>695</v>
      </c>
      <c r="AK44" s="226" t="s">
        <v>61</v>
      </c>
      <c r="AL44" s="227">
        <v>101.5</v>
      </c>
      <c r="AM44" s="227">
        <v>91.4</v>
      </c>
      <c r="AN44" s="227">
        <v>25.7</v>
      </c>
      <c r="AO44" s="227">
        <f t="shared" si="209"/>
        <v>10.099999999999994</v>
      </c>
      <c r="AP44" s="227">
        <f t="shared" si="210"/>
        <v>65.7</v>
      </c>
      <c r="AQ44" s="228">
        <f t="shared" si="211"/>
        <v>0.15372907153729062</v>
      </c>
      <c r="AR44" s="521">
        <v>1.69</v>
      </c>
      <c r="AS44" s="519">
        <f t="shared" si="212"/>
        <v>0.25980213089802112</v>
      </c>
      <c r="AU44" s="515"/>
      <c r="AV44" s="227"/>
      <c r="AW44" s="227"/>
      <c r="AX44" s="523"/>
      <c r="AY44" s="534" t="s">
        <v>496</v>
      </c>
      <c r="AZ44" s="226" t="s">
        <v>61</v>
      </c>
      <c r="BA44" s="227">
        <v>98.1</v>
      </c>
      <c r="BB44" s="227">
        <v>87.9</v>
      </c>
      <c r="BC44" s="227">
        <v>22</v>
      </c>
      <c r="BD44" s="227">
        <f t="shared" si="213"/>
        <v>10.199999999999989</v>
      </c>
      <c r="BE44" s="227">
        <f t="shared" si="214"/>
        <v>65.900000000000006</v>
      </c>
      <c r="BF44" s="228">
        <f t="shared" si="215"/>
        <v>0.15477996965098614</v>
      </c>
      <c r="BG44" s="521">
        <v>1.69</v>
      </c>
      <c r="BH44" s="519">
        <f t="shared" si="216"/>
        <v>0.26157814871016655</v>
      </c>
      <c r="BJ44" s="231">
        <v>0.46165106382978743</v>
      </c>
      <c r="BK44" s="231">
        <v>0.42238370118845481</v>
      </c>
      <c r="BL44" s="231">
        <v>0.40861224489795944</v>
      </c>
      <c r="BM44" s="231">
        <f t="shared" si="167"/>
        <v>109.29660934615768</v>
      </c>
      <c r="BN44" s="231">
        <f t="shared" si="167"/>
        <v>103.37029946176341</v>
      </c>
      <c r="BO44" s="231">
        <f t="shared" si="168"/>
        <v>0.44201738250912115</v>
      </c>
    </row>
    <row r="45" spans="1:68">
      <c r="A45" s="231">
        <f>A44+6</f>
        <v>79</v>
      </c>
      <c r="B45" s="515"/>
      <c r="C45" s="227"/>
      <c r="D45" s="227"/>
      <c r="E45" s="523"/>
      <c r="F45" s="226"/>
      <c r="G45" s="226" t="s">
        <v>61</v>
      </c>
      <c r="H45" s="227"/>
      <c r="I45" s="227"/>
      <c r="J45" s="227"/>
      <c r="K45" s="227"/>
      <c r="L45" s="227"/>
      <c r="M45" s="228"/>
      <c r="N45" s="521"/>
      <c r="O45" s="524"/>
      <c r="P45" s="520">
        <f t="shared" si="154"/>
        <v>0</v>
      </c>
      <c r="Q45" s="515"/>
      <c r="R45" s="227"/>
      <c r="S45" s="227"/>
      <c r="T45" s="523"/>
      <c r="U45" s="226"/>
      <c r="V45" s="226" t="s">
        <v>61</v>
      </c>
      <c r="W45" s="227"/>
      <c r="X45" s="227"/>
      <c r="Y45" s="227"/>
      <c r="Z45" s="227"/>
      <c r="AA45" s="227"/>
      <c r="AB45" s="228"/>
      <c r="AC45" s="521"/>
      <c r="AD45" s="524"/>
      <c r="AF45" s="515"/>
      <c r="AG45" s="227"/>
      <c r="AH45" s="227"/>
      <c r="AI45" s="523"/>
      <c r="AJ45" s="226"/>
      <c r="AK45" s="226" t="s">
        <v>61</v>
      </c>
      <c r="AL45" s="227"/>
      <c r="AM45" s="227"/>
      <c r="AN45" s="227"/>
      <c r="AO45" s="227"/>
      <c r="AP45" s="227"/>
      <c r="AQ45" s="228"/>
      <c r="AR45" s="521"/>
      <c r="AS45" s="524"/>
      <c r="AU45" s="515"/>
      <c r="AV45" s="227"/>
      <c r="AW45" s="227"/>
      <c r="AX45" s="523"/>
      <c r="AY45" s="226"/>
      <c r="AZ45" s="226" t="s">
        <v>61</v>
      </c>
      <c r="BA45" s="227"/>
      <c r="BB45" s="227"/>
      <c r="BC45" s="227"/>
      <c r="BD45" s="227"/>
      <c r="BE45" s="227"/>
      <c r="BF45" s="228"/>
      <c r="BG45" s="521"/>
      <c r="BH45" s="524"/>
      <c r="BJ45" s="231">
        <v>0.44292715231788077</v>
      </c>
      <c r="BK45" s="231">
        <v>0.37396946564885497</v>
      </c>
      <c r="BL45" s="231">
        <v>0.40851231527093579</v>
      </c>
      <c r="BM45" s="231">
        <f t="shared" si="167"/>
        <v>118.43938957673481</v>
      </c>
      <c r="BN45" s="231">
        <f t="shared" si="167"/>
        <v>91.544232981282065</v>
      </c>
      <c r="BO45" s="231">
        <f t="shared" si="168"/>
        <v>0.40844830898336787</v>
      </c>
    </row>
    <row r="46" spans="1:68">
      <c r="A46" s="231">
        <f>A17+6</f>
        <v>103</v>
      </c>
      <c r="B46" s="525"/>
      <c r="C46" s="227"/>
      <c r="D46" s="227"/>
      <c r="E46" s="523"/>
      <c r="F46" s="534" t="s">
        <v>642</v>
      </c>
      <c r="G46" s="226" t="s">
        <v>62</v>
      </c>
      <c r="H46" s="227">
        <v>102</v>
      </c>
      <c r="I46" s="227">
        <v>87.3</v>
      </c>
      <c r="J46" s="227">
        <v>22.9</v>
      </c>
      <c r="K46" s="227">
        <f t="shared" ref="K46:K47" si="217">H46-I46</f>
        <v>14.700000000000003</v>
      </c>
      <c r="L46" s="227">
        <f t="shared" ref="L46:L47" si="218">I46-J46</f>
        <v>64.400000000000006</v>
      </c>
      <c r="M46" s="228">
        <f t="shared" ref="M46:M47" si="219">K46/L46</f>
        <v>0.22826086956521741</v>
      </c>
      <c r="N46" s="521">
        <v>1.64</v>
      </c>
      <c r="O46" s="519">
        <f t="shared" ref="O46:O47" si="220">M46*N46</f>
        <v>0.37434782608695655</v>
      </c>
      <c r="P46" s="230">
        <f t="shared" si="154"/>
        <v>0.37434782608695655</v>
      </c>
      <c r="Q46" s="525"/>
      <c r="R46" s="227"/>
      <c r="S46" s="227"/>
      <c r="T46" s="523"/>
      <c r="U46" s="534" t="s">
        <v>442</v>
      </c>
      <c r="V46" s="226" t="s">
        <v>62</v>
      </c>
      <c r="W46" s="227">
        <v>121.3</v>
      </c>
      <c r="X46" s="227">
        <v>105</v>
      </c>
      <c r="Y46" s="227">
        <v>29.5</v>
      </c>
      <c r="Z46" s="227">
        <f t="shared" ref="Z46:Z47" si="221">W46-X46</f>
        <v>16.299999999999997</v>
      </c>
      <c r="AA46" s="227">
        <f t="shared" ref="AA46:AA47" si="222">X46-Y46</f>
        <v>75.5</v>
      </c>
      <c r="AB46" s="228">
        <f t="shared" ref="AB46:AB47" si="223">Z46/AA46</f>
        <v>0.2158940397350993</v>
      </c>
      <c r="AC46" s="521">
        <v>1.64</v>
      </c>
      <c r="AD46" s="519">
        <f t="shared" ref="AD46:AD47" si="224">AB46*AC46</f>
        <v>0.35406622516556285</v>
      </c>
      <c r="AF46" s="525"/>
      <c r="AG46" s="227"/>
      <c r="AH46" s="227"/>
      <c r="AI46" s="523"/>
      <c r="AJ46" s="534" t="s">
        <v>498</v>
      </c>
      <c r="AK46" s="226" t="s">
        <v>62</v>
      </c>
      <c r="AL46" s="227">
        <v>111.8</v>
      </c>
      <c r="AM46" s="227">
        <v>97.1</v>
      </c>
      <c r="AN46" s="227">
        <v>24.1</v>
      </c>
      <c r="AO46" s="227">
        <f t="shared" ref="AO46:AO47" si="225">AL46-AM46</f>
        <v>14.700000000000003</v>
      </c>
      <c r="AP46" s="227">
        <f t="shared" ref="AP46:AP47" si="226">AM46-AN46</f>
        <v>73</v>
      </c>
      <c r="AQ46" s="228">
        <f t="shared" ref="AQ46:AQ47" si="227">AO46/AP46</f>
        <v>0.20136986301369866</v>
      </c>
      <c r="AR46" s="521">
        <v>1.64</v>
      </c>
      <c r="AS46" s="519">
        <f t="shared" ref="AS46:AS47" si="228">AQ46*AR46</f>
        <v>0.33024657534246576</v>
      </c>
      <c r="AU46" s="525"/>
      <c r="AV46" s="227"/>
      <c r="AW46" s="227"/>
      <c r="AX46" s="523"/>
      <c r="AY46" s="534" t="s">
        <v>709</v>
      </c>
      <c r="AZ46" s="226" t="s">
        <v>62</v>
      </c>
      <c r="BA46" s="227">
        <v>94.5</v>
      </c>
      <c r="BB46" s="227">
        <v>81.900000000000006</v>
      </c>
      <c r="BC46" s="227">
        <v>23.6</v>
      </c>
      <c r="BD46" s="227">
        <f t="shared" ref="BD46:BD47" si="229">BA46-BB46</f>
        <v>12.599999999999994</v>
      </c>
      <c r="BE46" s="227">
        <f t="shared" ref="BE46:BE47" si="230">BB46-BC46</f>
        <v>58.300000000000004</v>
      </c>
      <c r="BF46" s="228">
        <f t="shared" ref="BF46:BF47" si="231">BD46/BE46</f>
        <v>0.21612349914236695</v>
      </c>
      <c r="BG46" s="521">
        <v>1.64</v>
      </c>
      <c r="BH46" s="519">
        <f t="shared" ref="BH46:BH47" si="232">BF46*BG46</f>
        <v>0.35444253859348179</v>
      </c>
      <c r="BJ46" s="231">
        <v>0.39105485232067516</v>
      </c>
      <c r="BK46" s="231">
        <v>0.40137007874015718</v>
      </c>
      <c r="BL46" s="231">
        <v>0.41053282345442982</v>
      </c>
      <c r="BM46" s="231">
        <f t="shared" si="167"/>
        <v>97.429996164173474</v>
      </c>
      <c r="BN46" s="231">
        <f t="shared" si="167"/>
        <v>97.768084744802451</v>
      </c>
      <c r="BO46" s="231">
        <f t="shared" si="168"/>
        <v>0.39621246553041617</v>
      </c>
    </row>
    <row r="47" spans="1:68">
      <c r="A47" s="231">
        <f>A46+6</f>
        <v>109</v>
      </c>
      <c r="B47" s="525"/>
      <c r="C47" s="227"/>
      <c r="D47" s="227"/>
      <c r="E47" s="523"/>
      <c r="F47" s="534" t="s">
        <v>647</v>
      </c>
      <c r="G47" s="226" t="s">
        <v>62</v>
      </c>
      <c r="H47" s="227">
        <v>112</v>
      </c>
      <c r="I47" s="227">
        <v>95.9</v>
      </c>
      <c r="J47" s="227">
        <v>24</v>
      </c>
      <c r="K47" s="227">
        <f t="shared" si="217"/>
        <v>16.099999999999994</v>
      </c>
      <c r="L47" s="227">
        <f t="shared" si="218"/>
        <v>71.900000000000006</v>
      </c>
      <c r="M47" s="228">
        <f t="shared" si="219"/>
        <v>0.22392211404728779</v>
      </c>
      <c r="N47" s="521">
        <v>1.64</v>
      </c>
      <c r="O47" s="519">
        <f t="shared" si="220"/>
        <v>0.36723226703755196</v>
      </c>
      <c r="P47" s="520">
        <f t="shared" si="154"/>
        <v>0.36723226703755196</v>
      </c>
      <c r="Q47" s="525"/>
      <c r="R47" s="227"/>
      <c r="S47" s="227"/>
      <c r="T47" s="523"/>
      <c r="U47" s="534" t="s">
        <v>505</v>
      </c>
      <c r="V47" s="226" t="s">
        <v>62</v>
      </c>
      <c r="W47" s="227">
        <v>103.8</v>
      </c>
      <c r="X47" s="227">
        <v>89.3</v>
      </c>
      <c r="Y47" s="227">
        <v>21.3</v>
      </c>
      <c r="Z47" s="227">
        <f t="shared" si="221"/>
        <v>14.5</v>
      </c>
      <c r="AA47" s="227">
        <f t="shared" si="222"/>
        <v>68</v>
      </c>
      <c r="AB47" s="228">
        <f t="shared" si="223"/>
        <v>0.21323529411764705</v>
      </c>
      <c r="AC47" s="521">
        <v>1.64</v>
      </c>
      <c r="AD47" s="519">
        <f t="shared" si="224"/>
        <v>0.34970588235294114</v>
      </c>
      <c r="AF47" s="525"/>
      <c r="AG47" s="227"/>
      <c r="AH47" s="227"/>
      <c r="AI47" s="523"/>
      <c r="AJ47" s="534" t="s">
        <v>426</v>
      </c>
      <c r="AK47" s="226" t="s">
        <v>62</v>
      </c>
      <c r="AL47" s="227">
        <v>101.4</v>
      </c>
      <c r="AM47" s="227">
        <v>85.9</v>
      </c>
      <c r="AN47" s="227">
        <v>22.5</v>
      </c>
      <c r="AO47" s="227">
        <f t="shared" si="225"/>
        <v>15.5</v>
      </c>
      <c r="AP47" s="227">
        <f t="shared" si="226"/>
        <v>63.400000000000006</v>
      </c>
      <c r="AQ47" s="228">
        <f t="shared" si="227"/>
        <v>0.24447949526813878</v>
      </c>
      <c r="AR47" s="521">
        <v>1.64</v>
      </c>
      <c r="AS47" s="519">
        <f t="shared" si="228"/>
        <v>0.40094637223974755</v>
      </c>
      <c r="AU47" s="525"/>
      <c r="AV47" s="227"/>
      <c r="AW47" s="227"/>
      <c r="AX47" s="523"/>
      <c r="AY47" s="534" t="s">
        <v>466</v>
      </c>
      <c r="AZ47" s="226" t="s">
        <v>62</v>
      </c>
      <c r="BA47" s="227">
        <v>111.8</v>
      </c>
      <c r="BB47" s="227">
        <v>95.4</v>
      </c>
      <c r="BC47" s="227">
        <v>24</v>
      </c>
      <c r="BD47" s="227">
        <f t="shared" si="229"/>
        <v>16.399999999999991</v>
      </c>
      <c r="BE47" s="227">
        <f t="shared" si="230"/>
        <v>71.400000000000006</v>
      </c>
      <c r="BF47" s="228">
        <f t="shared" si="231"/>
        <v>0.22969187675070013</v>
      </c>
      <c r="BG47" s="521">
        <v>1.64</v>
      </c>
      <c r="BH47" s="519">
        <f t="shared" si="232"/>
        <v>0.37669467787114819</v>
      </c>
      <c r="BJ47" s="231">
        <v>0.39673049645390085</v>
      </c>
      <c r="BK47" s="231">
        <v>0.38236830601092925</v>
      </c>
      <c r="BL47" s="231">
        <v>0.38494074074074047</v>
      </c>
      <c r="BM47" s="231">
        <f t="shared" si="167"/>
        <v>103.75611425350748</v>
      </c>
      <c r="BN47" s="231">
        <f t="shared" si="167"/>
        <v>99.331732275242913</v>
      </c>
      <c r="BO47" s="231">
        <f t="shared" si="168"/>
        <v>0.38954940123241505</v>
      </c>
    </row>
    <row r="48" spans="1:68">
      <c r="A48" s="231">
        <f>A47+6</f>
        <v>115</v>
      </c>
      <c r="B48" s="525"/>
      <c r="C48" s="227"/>
      <c r="D48" s="227"/>
      <c r="E48" s="523"/>
      <c r="F48" s="226"/>
      <c r="G48" s="226" t="s">
        <v>62</v>
      </c>
      <c r="H48" s="227"/>
      <c r="I48" s="227"/>
      <c r="J48" s="227"/>
      <c r="K48" s="227"/>
      <c r="L48" s="227"/>
      <c r="M48" s="228"/>
      <c r="N48" s="521"/>
      <c r="O48" s="519"/>
      <c r="P48" s="520">
        <f t="shared" si="154"/>
        <v>0</v>
      </c>
      <c r="Q48" s="525"/>
      <c r="R48" s="227"/>
      <c r="S48" s="227"/>
      <c r="T48" s="523"/>
      <c r="U48" s="226"/>
      <c r="V48" s="226" t="s">
        <v>62</v>
      </c>
      <c r="W48" s="227"/>
      <c r="X48" s="227"/>
      <c r="Y48" s="227"/>
      <c r="Z48" s="227"/>
      <c r="AA48" s="227"/>
      <c r="AB48" s="228"/>
      <c r="AC48" s="521"/>
      <c r="AD48" s="519"/>
      <c r="AF48" s="525"/>
      <c r="AG48" s="227"/>
      <c r="AH48" s="227"/>
      <c r="AI48" s="523"/>
      <c r="AJ48" s="226"/>
      <c r="AK48" s="226" t="s">
        <v>62</v>
      </c>
      <c r="AL48" s="227"/>
      <c r="AM48" s="227"/>
      <c r="AN48" s="227"/>
      <c r="AO48" s="227"/>
      <c r="AP48" s="227"/>
      <c r="AQ48" s="228"/>
      <c r="AR48" s="521"/>
      <c r="AS48" s="519"/>
      <c r="AU48" s="525"/>
      <c r="AV48" s="227"/>
      <c r="AW48" s="227"/>
      <c r="AX48" s="523"/>
      <c r="AY48" s="226"/>
      <c r="AZ48" s="226" t="s">
        <v>62</v>
      </c>
      <c r="BA48" s="227"/>
      <c r="BB48" s="227"/>
      <c r="BC48" s="227"/>
      <c r="BD48" s="227"/>
      <c r="BE48" s="227"/>
      <c r="BF48" s="228"/>
      <c r="BG48" s="521"/>
      <c r="BH48" s="519"/>
      <c r="BJ48" s="231">
        <v>0.41824820512820532</v>
      </c>
      <c r="BK48" s="231">
        <v>0.38133094812164575</v>
      </c>
      <c r="BL48" s="231">
        <v>0.41539840637450209</v>
      </c>
      <c r="BM48" s="231">
        <f t="shared" si="167"/>
        <v>109.6811594202899</v>
      </c>
      <c r="BN48" s="231">
        <f t="shared" si="167"/>
        <v>91.798847147684327</v>
      </c>
      <c r="BO48" s="231">
        <f t="shared" si="168"/>
        <v>0.39978957662492554</v>
      </c>
    </row>
    <row r="49" spans="1:68">
      <c r="A49" s="231">
        <f>A20+6</f>
        <v>139</v>
      </c>
      <c r="B49" s="515"/>
      <c r="C49" s="227"/>
      <c r="D49" s="227"/>
      <c r="E49" s="523"/>
      <c r="F49" s="534" t="s">
        <v>448</v>
      </c>
      <c r="G49" s="227" t="s">
        <v>63</v>
      </c>
      <c r="H49" s="227">
        <v>115.2</v>
      </c>
      <c r="I49" s="227">
        <v>95.7</v>
      </c>
      <c r="J49" s="227">
        <v>21.7</v>
      </c>
      <c r="K49" s="227">
        <f t="shared" ref="K49:K50" si="233">H49-I49</f>
        <v>19.5</v>
      </c>
      <c r="L49" s="227">
        <f t="shared" ref="L49:L50" si="234">I49-J49</f>
        <v>74</v>
      </c>
      <c r="M49" s="228">
        <f t="shared" ref="M49:M50" si="235">K49/L49</f>
        <v>0.26351351351351349</v>
      </c>
      <c r="N49" s="521">
        <v>1.64</v>
      </c>
      <c r="O49" s="519">
        <f t="shared" ref="O49:O50" si="236">M49*N49</f>
        <v>0.43216216216216208</v>
      </c>
      <c r="P49" s="520">
        <f t="shared" si="154"/>
        <v>0.43216216216216208</v>
      </c>
      <c r="Q49" s="515"/>
      <c r="R49" s="227"/>
      <c r="S49" s="227"/>
      <c r="T49" s="523"/>
      <c r="U49" s="534" t="s">
        <v>668</v>
      </c>
      <c r="V49" s="227" t="s">
        <v>63</v>
      </c>
      <c r="W49" s="227">
        <v>106</v>
      </c>
      <c r="X49" s="227">
        <v>88.3</v>
      </c>
      <c r="Y49" s="227">
        <v>22.1</v>
      </c>
      <c r="Z49" s="227">
        <f t="shared" ref="Z49:Z50" si="237">W49-X49</f>
        <v>17.700000000000003</v>
      </c>
      <c r="AA49" s="227">
        <f t="shared" ref="AA49:AA50" si="238">X49-Y49</f>
        <v>66.199999999999989</v>
      </c>
      <c r="AB49" s="228">
        <f t="shared" ref="AB49:AB50" si="239">Z49/AA49</f>
        <v>0.26737160120845932</v>
      </c>
      <c r="AC49" s="521">
        <v>1.64</v>
      </c>
      <c r="AD49" s="519">
        <f t="shared" ref="AD49:AD50" si="240">AB49*AC49</f>
        <v>0.43848942598187324</v>
      </c>
      <c r="AF49" s="515"/>
      <c r="AG49" s="227"/>
      <c r="AH49" s="227"/>
      <c r="AI49" s="523"/>
      <c r="AJ49" s="534" t="s">
        <v>693</v>
      </c>
      <c r="AK49" s="227" t="s">
        <v>63</v>
      </c>
      <c r="AL49" s="227">
        <v>98.9</v>
      </c>
      <c r="AM49" s="227">
        <v>83.7</v>
      </c>
      <c r="AN49" s="227">
        <v>23.7</v>
      </c>
      <c r="AO49" s="227">
        <f t="shared" ref="AO49:AO50" si="241">AL49-AM49</f>
        <v>15.200000000000003</v>
      </c>
      <c r="AP49" s="227">
        <f t="shared" ref="AP49:AP50" si="242">AM49-AN49</f>
        <v>60</v>
      </c>
      <c r="AQ49" s="228">
        <f t="shared" ref="AQ49:AQ50" si="243">AO49/AP49</f>
        <v>0.25333333333333335</v>
      </c>
      <c r="AR49" s="521">
        <v>1.64</v>
      </c>
      <c r="AS49" s="519">
        <f t="shared" ref="AS49:AS50" si="244">AQ49*AR49</f>
        <v>0.41546666666666665</v>
      </c>
      <c r="AU49" s="515"/>
      <c r="AV49" s="227"/>
      <c r="AW49" s="227"/>
      <c r="AX49" s="523"/>
      <c r="AY49" s="534" t="s">
        <v>710</v>
      </c>
      <c r="AZ49" s="227" t="s">
        <v>63</v>
      </c>
      <c r="BA49" s="227">
        <v>113.5</v>
      </c>
      <c r="BB49" s="227">
        <v>94.9</v>
      </c>
      <c r="BC49" s="227">
        <v>23.8</v>
      </c>
      <c r="BD49" s="227">
        <f t="shared" ref="BD49:BD50" si="245">BA49-BB49</f>
        <v>18.599999999999994</v>
      </c>
      <c r="BE49" s="227">
        <f t="shared" ref="BE49:BE50" si="246">BB49-BC49</f>
        <v>71.100000000000009</v>
      </c>
      <c r="BF49" s="228">
        <f t="shared" ref="BF49:BF50" si="247">BD49/BE49</f>
        <v>0.26160337552742607</v>
      </c>
      <c r="BG49" s="521">
        <v>1.64</v>
      </c>
      <c r="BH49" s="519">
        <f t="shared" ref="BH49:BH50" si="248">BF49*BG49</f>
        <v>0.42902953586497872</v>
      </c>
      <c r="BJ49" s="231">
        <v>0.36616007036059778</v>
      </c>
      <c r="BK49" s="231">
        <v>0.36506666666666648</v>
      </c>
      <c r="BL49" s="231">
        <v>0.36704369538077403</v>
      </c>
      <c r="BM49" s="231">
        <f t="shared" si="167"/>
        <v>100.29950795122295</v>
      </c>
      <c r="BN49" s="231">
        <f t="shared" si="167"/>
        <v>99.461364208406707</v>
      </c>
      <c r="BO49" s="231">
        <f t="shared" si="168"/>
        <v>0.36561336851363213</v>
      </c>
    </row>
    <row r="50" spans="1:68">
      <c r="A50" s="231">
        <f>A49+6</f>
        <v>145</v>
      </c>
      <c r="B50" s="523"/>
      <c r="C50" s="227"/>
      <c r="D50" s="227"/>
      <c r="E50" s="523"/>
      <c r="F50" s="535" t="s">
        <v>516</v>
      </c>
      <c r="G50" s="235" t="s">
        <v>63</v>
      </c>
      <c r="H50" s="235">
        <v>102.5</v>
      </c>
      <c r="I50" s="235">
        <v>84.3</v>
      </c>
      <c r="J50" s="235">
        <v>17.8</v>
      </c>
      <c r="K50" s="227">
        <f t="shared" si="233"/>
        <v>18.200000000000003</v>
      </c>
      <c r="L50" s="227">
        <f t="shared" si="234"/>
        <v>66.5</v>
      </c>
      <c r="M50" s="228">
        <f t="shared" si="235"/>
        <v>0.27368421052631581</v>
      </c>
      <c r="N50" s="518">
        <v>1.64</v>
      </c>
      <c r="O50" s="519">
        <f t="shared" si="236"/>
        <v>0.44884210526315788</v>
      </c>
      <c r="P50" s="520">
        <f t="shared" si="154"/>
        <v>0.44884210526315788</v>
      </c>
      <c r="Q50" s="523"/>
      <c r="R50" s="227"/>
      <c r="S50" s="227"/>
      <c r="T50" s="523"/>
      <c r="U50" s="535" t="s">
        <v>673</v>
      </c>
      <c r="V50" s="235" t="s">
        <v>63</v>
      </c>
      <c r="W50" s="235">
        <v>103.2</v>
      </c>
      <c r="X50" s="235">
        <v>86.9</v>
      </c>
      <c r="Y50" s="235">
        <v>23.2</v>
      </c>
      <c r="Z50" s="227">
        <f t="shared" si="237"/>
        <v>16.299999999999997</v>
      </c>
      <c r="AA50" s="227">
        <f t="shared" si="238"/>
        <v>63.7</v>
      </c>
      <c r="AB50" s="228">
        <f t="shared" si="239"/>
        <v>0.25588697017268441</v>
      </c>
      <c r="AC50" s="518">
        <v>1.64</v>
      </c>
      <c r="AD50" s="519">
        <f t="shared" si="240"/>
        <v>0.41965463108320239</v>
      </c>
      <c r="AF50" s="523"/>
      <c r="AG50" s="227"/>
      <c r="AH50" s="227"/>
      <c r="AI50" s="523"/>
      <c r="AJ50" s="535" t="s">
        <v>504</v>
      </c>
      <c r="AK50" s="235" t="s">
        <v>63</v>
      </c>
      <c r="AL50" s="235">
        <v>108.8</v>
      </c>
      <c r="AM50" s="235">
        <v>89.8</v>
      </c>
      <c r="AN50" s="235">
        <v>23.7</v>
      </c>
      <c r="AO50" s="227">
        <f t="shared" si="241"/>
        <v>19</v>
      </c>
      <c r="AP50" s="227">
        <f t="shared" si="242"/>
        <v>66.099999999999994</v>
      </c>
      <c r="AQ50" s="228">
        <f t="shared" si="243"/>
        <v>0.28744326777609686</v>
      </c>
      <c r="AR50" s="518">
        <v>1.64</v>
      </c>
      <c r="AS50" s="519">
        <f t="shared" si="244"/>
        <v>0.47140695915279879</v>
      </c>
      <c r="AU50" s="523"/>
      <c r="AV50" s="227"/>
      <c r="AW50" s="227"/>
      <c r="AX50" s="523"/>
      <c r="AY50" s="535" t="s">
        <v>716</v>
      </c>
      <c r="AZ50" s="235" t="s">
        <v>63</v>
      </c>
      <c r="BA50" s="235">
        <v>109.9</v>
      </c>
      <c r="BB50" s="235">
        <v>91.4</v>
      </c>
      <c r="BC50" s="235">
        <v>22.9</v>
      </c>
      <c r="BD50" s="227">
        <f t="shared" si="245"/>
        <v>18.5</v>
      </c>
      <c r="BE50" s="227">
        <f t="shared" si="246"/>
        <v>68.5</v>
      </c>
      <c r="BF50" s="228">
        <f t="shared" si="247"/>
        <v>0.27007299270072993</v>
      </c>
      <c r="BG50" s="518">
        <v>1.64</v>
      </c>
      <c r="BH50" s="519">
        <f t="shared" si="248"/>
        <v>0.44291970802919706</v>
      </c>
      <c r="BJ50" s="231">
        <v>0.35086692015209098</v>
      </c>
      <c r="BK50" s="231">
        <v>0.36920430107526853</v>
      </c>
      <c r="BL50" s="231">
        <v>0.33203185437997706</v>
      </c>
      <c r="BM50" s="231">
        <f t="shared" si="167"/>
        <v>95.033269961977183</v>
      </c>
      <c r="BN50" s="231">
        <f t="shared" si="167"/>
        <v>111.19544592030357</v>
      </c>
      <c r="BO50" s="231">
        <f t="shared" si="168"/>
        <v>0.36003561061367972</v>
      </c>
    </row>
    <row r="51" spans="1:68">
      <c r="A51" s="231">
        <f>A50+6</f>
        <v>151</v>
      </c>
      <c r="B51" s="523"/>
      <c r="C51" s="227"/>
      <c r="D51" s="227"/>
      <c r="E51" s="523"/>
      <c r="F51" s="226"/>
      <c r="G51" s="227" t="s">
        <v>63</v>
      </c>
      <c r="H51" s="227"/>
      <c r="I51" s="227"/>
      <c r="J51" s="227"/>
      <c r="K51" s="227"/>
      <c r="L51" s="227"/>
      <c r="M51" s="228"/>
      <c r="N51" s="521"/>
      <c r="O51" s="519"/>
      <c r="P51" s="520">
        <f t="shared" si="154"/>
        <v>0</v>
      </c>
      <c r="Q51" s="523"/>
      <c r="R51" s="227"/>
      <c r="S51" s="227"/>
      <c r="T51" s="523"/>
      <c r="U51" s="226"/>
      <c r="V51" s="227" t="s">
        <v>63</v>
      </c>
      <c r="W51" s="227"/>
      <c r="X51" s="227"/>
      <c r="Y51" s="227"/>
      <c r="Z51" s="227"/>
      <c r="AA51" s="227"/>
      <c r="AB51" s="228"/>
      <c r="AC51" s="521"/>
      <c r="AD51" s="519"/>
      <c r="AF51" s="523"/>
      <c r="AG51" s="227"/>
      <c r="AH51" s="227"/>
      <c r="AI51" s="523"/>
      <c r="AJ51" s="226"/>
      <c r="AK51" s="227" t="s">
        <v>63</v>
      </c>
      <c r="AL51" s="227"/>
      <c r="AM51" s="227"/>
      <c r="AN51" s="227"/>
      <c r="AO51" s="227"/>
      <c r="AP51" s="227"/>
      <c r="AQ51" s="228"/>
      <c r="AR51" s="521"/>
      <c r="AS51" s="519"/>
      <c r="AU51" s="523"/>
      <c r="AV51" s="227"/>
      <c r="AW51" s="227"/>
      <c r="AX51" s="523"/>
      <c r="AY51" s="226"/>
      <c r="AZ51" s="227" t="s">
        <v>63</v>
      </c>
      <c r="BA51" s="227"/>
      <c r="BB51" s="227"/>
      <c r="BC51" s="227"/>
      <c r="BD51" s="227"/>
      <c r="BE51" s="227"/>
      <c r="BF51" s="228"/>
      <c r="BG51" s="521"/>
      <c r="BH51" s="519"/>
      <c r="BJ51" s="231">
        <v>0.36548123249299724</v>
      </c>
      <c r="BK51" s="231">
        <v>0.31896830601092913</v>
      </c>
      <c r="BL51" s="231">
        <v>0.37452006980802788</v>
      </c>
      <c r="BM51" s="231">
        <f t="shared" si="167"/>
        <v>114.58230350963909</v>
      </c>
      <c r="BN51" s="231">
        <f t="shared" si="167"/>
        <v>85.167213114754148</v>
      </c>
      <c r="BO51" s="231">
        <f t="shared" si="168"/>
        <v>0.34222476925196321</v>
      </c>
    </row>
    <row r="52" spans="1:68">
      <c r="A52" s="231">
        <f>A23+6</f>
        <v>175</v>
      </c>
      <c r="B52" s="523"/>
      <c r="C52" s="227"/>
      <c r="D52" s="227"/>
      <c r="E52" s="523"/>
      <c r="F52" s="534" t="s">
        <v>549</v>
      </c>
      <c r="G52" s="227" t="s">
        <v>64</v>
      </c>
      <c r="H52" s="227">
        <v>115.9</v>
      </c>
      <c r="I52" s="227">
        <v>95.7</v>
      </c>
      <c r="J52" s="227">
        <v>22.8</v>
      </c>
      <c r="K52" s="227">
        <f t="shared" ref="K52:K53" si="249">H52-I52</f>
        <v>20.200000000000003</v>
      </c>
      <c r="L52" s="227">
        <f t="shared" ref="L52:L53" si="250">I52-J52</f>
        <v>72.900000000000006</v>
      </c>
      <c r="M52" s="228">
        <f t="shared" ref="M52:M53" si="251">K52/L52</f>
        <v>0.27709190672153639</v>
      </c>
      <c r="N52" s="521">
        <v>1.54</v>
      </c>
      <c r="O52" s="519">
        <f t="shared" ref="O52:O53" si="252">M52*N52</f>
        <v>0.42672153635116605</v>
      </c>
      <c r="P52" s="520">
        <f t="shared" si="154"/>
        <v>0.42672153635116605</v>
      </c>
      <c r="Q52" s="523"/>
      <c r="R52" s="227"/>
      <c r="S52" s="227"/>
      <c r="T52" s="523"/>
      <c r="U52" s="534" t="s">
        <v>477</v>
      </c>
      <c r="V52" s="227" t="s">
        <v>64</v>
      </c>
      <c r="W52" s="227">
        <v>105.2</v>
      </c>
      <c r="X52" s="227">
        <v>87.2</v>
      </c>
      <c r="Y52" s="227">
        <v>22.5</v>
      </c>
      <c r="Z52" s="227">
        <f t="shared" ref="Z52:Z53" si="253">W52-X52</f>
        <v>18</v>
      </c>
      <c r="AA52" s="227">
        <f t="shared" ref="AA52:AA53" si="254">X52-Y52</f>
        <v>64.7</v>
      </c>
      <c r="AB52" s="228">
        <f t="shared" ref="AB52:AB53" si="255">Z52/AA52</f>
        <v>0.27820710973724883</v>
      </c>
      <c r="AC52" s="521">
        <v>1.54</v>
      </c>
      <c r="AD52" s="519">
        <f t="shared" ref="AD52:AD53" si="256">AB52*AC52</f>
        <v>0.42843894899536322</v>
      </c>
      <c r="AF52" s="523"/>
      <c r="AG52" s="227"/>
      <c r="AH52" s="227"/>
      <c r="AI52" s="523"/>
      <c r="AJ52" s="534" t="s">
        <v>458</v>
      </c>
      <c r="AK52" s="227" t="s">
        <v>64</v>
      </c>
      <c r="AL52" s="227">
        <v>100.4</v>
      </c>
      <c r="AM52" s="227">
        <v>83.5</v>
      </c>
      <c r="AN52" s="227">
        <v>25.9</v>
      </c>
      <c r="AO52" s="227">
        <f t="shared" ref="AO52:AO53" si="257">AL52-AM52</f>
        <v>16.900000000000006</v>
      </c>
      <c r="AP52" s="227">
        <f t="shared" ref="AP52:AP53" si="258">AM52-AN52</f>
        <v>57.6</v>
      </c>
      <c r="AQ52" s="228">
        <f t="shared" ref="AQ52:AQ53" si="259">AO52/AP52</f>
        <v>0.29340277777777785</v>
      </c>
      <c r="AR52" s="521">
        <v>1.54</v>
      </c>
      <c r="AS52" s="519">
        <f t="shared" ref="AS52:AS53" si="260">AQ52*AR52</f>
        <v>0.45184027777777791</v>
      </c>
      <c r="AU52" s="523"/>
      <c r="AV52" s="227"/>
      <c r="AW52" s="227"/>
      <c r="AX52" s="523"/>
      <c r="AY52" s="534" t="s">
        <v>711</v>
      </c>
      <c r="AZ52" s="227" t="s">
        <v>64</v>
      </c>
      <c r="BA52" s="227">
        <v>110.1</v>
      </c>
      <c r="BB52" s="227">
        <v>90.1</v>
      </c>
      <c r="BC52" s="227">
        <v>21.2</v>
      </c>
      <c r="BD52" s="227">
        <f t="shared" ref="BD52:BD53" si="261">BA52-BB52</f>
        <v>20</v>
      </c>
      <c r="BE52" s="227">
        <f t="shared" ref="BE52:BE53" si="262">BB52-BC52</f>
        <v>68.899999999999991</v>
      </c>
      <c r="BF52" s="228">
        <f t="shared" ref="BF52:BF53" si="263">BD52/BE52</f>
        <v>0.29027576197387522</v>
      </c>
      <c r="BG52" s="521">
        <v>1.54</v>
      </c>
      <c r="BH52" s="519">
        <f t="shared" ref="BH52:BH53" si="264">BF52*BG52</f>
        <v>0.44702467343976787</v>
      </c>
      <c r="BJ52" s="231">
        <v>0.37816666666666643</v>
      </c>
      <c r="BK52" s="231">
        <v>0.35834045307443374</v>
      </c>
      <c r="BL52" s="231">
        <v>0.36894308943089432</v>
      </c>
      <c r="BM52" s="231">
        <f t="shared" si="167"/>
        <v>105.53278688524581</v>
      </c>
      <c r="BN52" s="231">
        <f t="shared" si="167"/>
        <v>97.126213592233029</v>
      </c>
      <c r="BO52" s="231">
        <f t="shared" si="168"/>
        <v>0.36825355987055008</v>
      </c>
    </row>
    <row r="53" spans="1:68">
      <c r="A53" s="231">
        <f>A52+6</f>
        <v>181</v>
      </c>
      <c r="B53" s="523"/>
      <c r="C53" s="227"/>
      <c r="D53" s="227"/>
      <c r="E53" s="523"/>
      <c r="F53" s="534" t="s">
        <v>648</v>
      </c>
      <c r="G53" s="227" t="s">
        <v>64</v>
      </c>
      <c r="H53" s="227">
        <v>113</v>
      </c>
      <c r="I53" s="227">
        <v>93.5</v>
      </c>
      <c r="J53" s="227">
        <v>23.3</v>
      </c>
      <c r="K53" s="227">
        <f t="shared" si="249"/>
        <v>19.5</v>
      </c>
      <c r="L53" s="227">
        <f t="shared" si="250"/>
        <v>70.2</v>
      </c>
      <c r="M53" s="228">
        <f t="shared" si="251"/>
        <v>0.27777777777777779</v>
      </c>
      <c r="N53" s="521">
        <v>1.54</v>
      </c>
      <c r="O53" s="519">
        <f t="shared" si="252"/>
        <v>0.42777777777777781</v>
      </c>
      <c r="P53" s="520">
        <f t="shared" si="154"/>
        <v>0.42777777777777781</v>
      </c>
      <c r="Q53" s="523"/>
      <c r="R53" s="227"/>
      <c r="S53" s="227"/>
      <c r="T53" s="523"/>
      <c r="U53" s="534" t="s">
        <v>428</v>
      </c>
      <c r="V53" s="227" t="s">
        <v>64</v>
      </c>
      <c r="W53" s="227">
        <v>119.8</v>
      </c>
      <c r="X53" s="227">
        <v>99.5</v>
      </c>
      <c r="Y53" s="227">
        <v>24.7</v>
      </c>
      <c r="Z53" s="227">
        <f t="shared" si="253"/>
        <v>20.299999999999997</v>
      </c>
      <c r="AA53" s="227">
        <f t="shared" si="254"/>
        <v>74.8</v>
      </c>
      <c r="AB53" s="228">
        <f t="shared" si="255"/>
        <v>0.27139037433155078</v>
      </c>
      <c r="AC53" s="521">
        <v>1.54</v>
      </c>
      <c r="AD53" s="519">
        <f t="shared" si="256"/>
        <v>0.4179411764705882</v>
      </c>
      <c r="AF53" s="523"/>
      <c r="AG53" s="227"/>
      <c r="AH53" s="227"/>
      <c r="AI53" s="523"/>
      <c r="AJ53" s="534" t="s">
        <v>696</v>
      </c>
      <c r="AK53" s="227" t="s">
        <v>64</v>
      </c>
      <c r="AL53" s="227">
        <v>106.8</v>
      </c>
      <c r="AM53" s="227">
        <v>87.2</v>
      </c>
      <c r="AN53" s="227">
        <v>21.8</v>
      </c>
      <c r="AO53" s="227">
        <f t="shared" si="257"/>
        <v>19.599999999999994</v>
      </c>
      <c r="AP53" s="227">
        <f t="shared" si="258"/>
        <v>65.400000000000006</v>
      </c>
      <c r="AQ53" s="228">
        <f t="shared" si="259"/>
        <v>0.29969418960244637</v>
      </c>
      <c r="AR53" s="521">
        <v>1.54</v>
      </c>
      <c r="AS53" s="519">
        <f t="shared" si="260"/>
        <v>0.46152905198776745</v>
      </c>
      <c r="AU53" s="523"/>
      <c r="AV53" s="227"/>
      <c r="AW53" s="227"/>
      <c r="AX53" s="523"/>
      <c r="AY53" s="534" t="s">
        <v>470</v>
      </c>
      <c r="AZ53" s="227" t="s">
        <v>64</v>
      </c>
      <c r="BA53" s="227">
        <v>111.1</v>
      </c>
      <c r="BB53" s="227">
        <v>90.6</v>
      </c>
      <c r="BC53" s="227">
        <v>21.7</v>
      </c>
      <c r="BD53" s="227">
        <f t="shared" si="261"/>
        <v>20.5</v>
      </c>
      <c r="BE53" s="227">
        <f t="shared" si="262"/>
        <v>68.899999999999991</v>
      </c>
      <c r="BF53" s="228">
        <f t="shared" si="263"/>
        <v>0.2975326560232221</v>
      </c>
      <c r="BG53" s="521">
        <v>1.54</v>
      </c>
      <c r="BH53" s="519">
        <f t="shared" si="264"/>
        <v>0.45820029027576203</v>
      </c>
      <c r="BJ53" s="523">
        <v>0.3737176470588236</v>
      </c>
      <c r="BK53" s="231">
        <v>0.24993773946360157</v>
      </c>
      <c r="BL53" s="231">
        <v>0.35532438478747208</v>
      </c>
      <c r="BM53" s="231">
        <f t="shared" si="167"/>
        <v>149.52429667519183</v>
      </c>
      <c r="BN53" s="231">
        <f t="shared" si="167"/>
        <v>70.340722495894909</v>
      </c>
      <c r="BO53" s="231">
        <f t="shared" si="168"/>
        <v>0.31182769326121257</v>
      </c>
    </row>
    <row r="54" spans="1:68">
      <c r="A54" s="231">
        <f>A53+6</f>
        <v>187</v>
      </c>
      <c r="B54" s="526"/>
      <c r="C54" s="235"/>
      <c r="D54" s="235"/>
      <c r="E54" s="517"/>
      <c r="F54" s="226"/>
      <c r="G54" s="227" t="s">
        <v>64</v>
      </c>
      <c r="H54" s="227"/>
      <c r="I54" s="227"/>
      <c r="J54" s="227"/>
      <c r="K54" s="227"/>
      <c r="L54" s="227"/>
      <c r="M54" s="228"/>
      <c r="N54" s="521"/>
      <c r="O54" s="519"/>
      <c r="P54" s="520">
        <f t="shared" si="154"/>
        <v>0</v>
      </c>
      <c r="Q54" s="526"/>
      <c r="R54" s="235"/>
      <c r="S54" s="235"/>
      <c r="T54" s="517"/>
      <c r="U54" s="226"/>
      <c r="V54" s="227" t="s">
        <v>64</v>
      </c>
      <c r="W54" s="227"/>
      <c r="X54" s="227"/>
      <c r="Y54" s="227"/>
      <c r="Z54" s="227"/>
      <c r="AA54" s="227"/>
      <c r="AB54" s="228"/>
      <c r="AC54" s="521"/>
      <c r="AD54" s="519"/>
      <c r="AF54" s="526"/>
      <c r="AG54" s="235"/>
      <c r="AH54" s="235"/>
      <c r="AI54" s="517"/>
      <c r="AJ54" s="226"/>
      <c r="AK54" s="227" t="s">
        <v>64</v>
      </c>
      <c r="AL54" s="227"/>
      <c r="AM54" s="227"/>
      <c r="AN54" s="227"/>
      <c r="AO54" s="227"/>
      <c r="AP54" s="227"/>
      <c r="AQ54" s="228"/>
      <c r="AR54" s="521"/>
      <c r="AS54" s="519"/>
      <c r="AU54" s="526"/>
      <c r="AV54" s="235"/>
      <c r="AW54" s="235"/>
      <c r="AX54" s="517"/>
      <c r="AY54" s="226"/>
      <c r="AZ54" s="227" t="s">
        <v>64</v>
      </c>
      <c r="BA54" s="227"/>
      <c r="BB54" s="227"/>
      <c r="BC54" s="227"/>
      <c r="BD54" s="227"/>
      <c r="BE54" s="227"/>
      <c r="BF54" s="228"/>
      <c r="BG54" s="521"/>
      <c r="BH54" s="519"/>
      <c r="BJ54" s="231">
        <v>0.3870126705653022</v>
      </c>
      <c r="BK54" s="231">
        <v>0.3568456973293771</v>
      </c>
      <c r="BL54" s="231">
        <v>0.36861010830324914</v>
      </c>
      <c r="BM54" s="231">
        <f t="shared" si="167"/>
        <v>108.45378645775858</v>
      </c>
      <c r="BN54" s="231">
        <f t="shared" si="167"/>
        <v>96.808440487965768</v>
      </c>
      <c r="BO54" s="231">
        <f t="shared" si="168"/>
        <v>0.37192918394733965</v>
      </c>
    </row>
    <row r="55" spans="1:68">
      <c r="A55" s="231">
        <f>A26+6</f>
        <v>211</v>
      </c>
      <c r="B55" s="523"/>
      <c r="C55" s="227"/>
      <c r="D55" s="227"/>
      <c r="E55" s="523"/>
      <c r="F55" s="534" t="s">
        <v>643</v>
      </c>
      <c r="G55" s="227" t="s">
        <v>65</v>
      </c>
      <c r="H55" s="227">
        <v>119.9</v>
      </c>
      <c r="I55" s="227">
        <v>99.1</v>
      </c>
      <c r="J55" s="227">
        <v>22.7</v>
      </c>
      <c r="K55" s="227">
        <f t="shared" ref="K55:K56" si="265">H55-I55</f>
        <v>20.800000000000011</v>
      </c>
      <c r="L55" s="227">
        <f t="shared" ref="L55:L56" si="266">I55-J55</f>
        <v>76.399999999999991</v>
      </c>
      <c r="M55" s="228">
        <f t="shared" ref="M55:M56" si="267">K55/L55</f>
        <v>0.27225130890052374</v>
      </c>
      <c r="N55" s="521">
        <v>1.52</v>
      </c>
      <c r="O55" s="519">
        <f t="shared" ref="O55:O63" si="268">M55*N55</f>
        <v>0.41382198952879606</v>
      </c>
      <c r="P55" s="520">
        <f t="shared" si="154"/>
        <v>0.41382198952879606</v>
      </c>
      <c r="Q55" s="523"/>
      <c r="R55" s="227"/>
      <c r="S55" s="227"/>
      <c r="T55" s="523"/>
      <c r="U55" s="534" t="s">
        <v>669</v>
      </c>
      <c r="V55" s="227" t="s">
        <v>65</v>
      </c>
      <c r="W55" s="227">
        <v>103</v>
      </c>
      <c r="X55" s="227">
        <v>85.3</v>
      </c>
      <c r="Y55" s="227">
        <v>22.4</v>
      </c>
      <c r="Z55" s="227">
        <f t="shared" ref="Z55:Z56" si="269">W55-X55</f>
        <v>17.700000000000003</v>
      </c>
      <c r="AA55" s="227">
        <f t="shared" ref="AA55:AA56" si="270">X55-Y55</f>
        <v>62.9</v>
      </c>
      <c r="AB55" s="228">
        <f t="shared" ref="AB55:AB56" si="271">Z55/AA55</f>
        <v>0.2813990461049285</v>
      </c>
      <c r="AC55" s="521">
        <v>1.52</v>
      </c>
      <c r="AD55" s="519">
        <f t="shared" ref="AD55:AD63" si="272">AB55*AC55</f>
        <v>0.42772655007949134</v>
      </c>
      <c r="AF55" s="523"/>
      <c r="AG55" s="227"/>
      <c r="AH55" s="227"/>
      <c r="AI55" s="523"/>
      <c r="AJ55" s="534" t="s">
        <v>433</v>
      </c>
      <c r="AK55" s="227" t="s">
        <v>65</v>
      </c>
      <c r="AL55" s="227">
        <v>103</v>
      </c>
      <c r="AM55" s="227">
        <v>85.5</v>
      </c>
      <c r="AN55" s="227">
        <v>23.3</v>
      </c>
      <c r="AO55" s="227">
        <f t="shared" ref="AO55:AO56" si="273">AL55-AM55</f>
        <v>17.5</v>
      </c>
      <c r="AP55" s="227">
        <f t="shared" ref="AP55:AP56" si="274">AM55-AN55</f>
        <v>62.2</v>
      </c>
      <c r="AQ55" s="228">
        <f t="shared" ref="AQ55:AQ56" si="275">AO55/AP55</f>
        <v>0.2813504823151125</v>
      </c>
      <c r="AR55" s="521">
        <v>1.52</v>
      </c>
      <c r="AS55" s="519">
        <f t="shared" ref="AS55:AS63" si="276">AQ55*AR55</f>
        <v>0.42765273311897101</v>
      </c>
      <c r="AU55" s="523"/>
      <c r="AV55" s="227"/>
      <c r="AW55" s="227"/>
      <c r="AX55" s="523"/>
      <c r="AY55" s="534" t="s">
        <v>712</v>
      </c>
      <c r="AZ55" s="227" t="s">
        <v>65</v>
      </c>
      <c r="BA55" s="227">
        <v>115.6</v>
      </c>
      <c r="BB55" s="227">
        <v>94.5</v>
      </c>
      <c r="BC55" s="227">
        <v>23.2</v>
      </c>
      <c r="BD55" s="227">
        <f t="shared" ref="BD55:BD56" si="277">BA55-BB55</f>
        <v>21.099999999999994</v>
      </c>
      <c r="BE55" s="227">
        <f t="shared" ref="BE55:BE56" si="278">BB55-BC55</f>
        <v>71.3</v>
      </c>
      <c r="BF55" s="228">
        <f t="shared" ref="BF55:BF56" si="279">BD55/BE55</f>
        <v>0.29593267882187929</v>
      </c>
      <c r="BG55" s="521">
        <v>1.52</v>
      </c>
      <c r="BH55" s="519">
        <f t="shared" ref="BH55:BH63" si="280">BF55*BG55</f>
        <v>0.44981767180925653</v>
      </c>
      <c r="BJ55" s="231">
        <v>0.36077727952167443</v>
      </c>
      <c r="BK55" s="231">
        <v>0.35972179289026285</v>
      </c>
      <c r="BL55" s="231">
        <v>0.37712499999999965</v>
      </c>
      <c r="BM55" s="231">
        <f t="shared" si="167"/>
        <v>100.29341748325311</v>
      </c>
      <c r="BN55" s="231">
        <f t="shared" si="167"/>
        <v>95.385294767056862</v>
      </c>
      <c r="BO55" s="231">
        <f t="shared" si="168"/>
        <v>0.36024953620596867</v>
      </c>
    </row>
    <row r="56" spans="1:68">
      <c r="A56" s="231">
        <f>A55+6</f>
        <v>217</v>
      </c>
      <c r="B56" s="523"/>
      <c r="C56" s="227"/>
      <c r="D56" s="227"/>
      <c r="E56" s="523"/>
      <c r="F56" s="534" t="s">
        <v>330</v>
      </c>
      <c r="G56" s="227" t="s">
        <v>65</v>
      </c>
      <c r="H56" s="227">
        <v>101.4</v>
      </c>
      <c r="I56" s="227">
        <v>84.4</v>
      </c>
      <c r="J56" s="227">
        <v>25.8</v>
      </c>
      <c r="K56" s="227">
        <f t="shared" si="265"/>
        <v>17</v>
      </c>
      <c r="L56" s="227">
        <f t="shared" si="266"/>
        <v>58.600000000000009</v>
      </c>
      <c r="M56" s="228">
        <f t="shared" si="267"/>
        <v>0.29010238907849822</v>
      </c>
      <c r="N56" s="521">
        <v>1.52</v>
      </c>
      <c r="O56" s="519">
        <f t="shared" si="268"/>
        <v>0.44095563139931732</v>
      </c>
      <c r="P56" s="520">
        <f t="shared" si="154"/>
        <v>0.44095563139931732</v>
      </c>
      <c r="Q56" s="523"/>
      <c r="R56" s="227"/>
      <c r="S56" s="227"/>
      <c r="T56" s="523"/>
      <c r="U56" s="534" t="s">
        <v>674</v>
      </c>
      <c r="V56" s="227" t="s">
        <v>65</v>
      </c>
      <c r="W56" s="227">
        <v>94.7</v>
      </c>
      <c r="X56" s="227">
        <v>78.8</v>
      </c>
      <c r="Y56" s="227">
        <v>23.2</v>
      </c>
      <c r="Z56" s="227">
        <f t="shared" si="269"/>
        <v>15.900000000000006</v>
      </c>
      <c r="AA56" s="227">
        <f t="shared" si="270"/>
        <v>55.599999999999994</v>
      </c>
      <c r="AB56" s="228">
        <f t="shared" si="271"/>
        <v>0.28597122302158284</v>
      </c>
      <c r="AC56" s="521">
        <v>1.52</v>
      </c>
      <c r="AD56" s="519">
        <f t="shared" si="272"/>
        <v>0.43467625899280593</v>
      </c>
      <c r="AF56" s="523"/>
      <c r="AG56" s="227"/>
      <c r="AH56" s="227"/>
      <c r="AI56" s="523"/>
      <c r="AJ56" s="534" t="s">
        <v>697</v>
      </c>
      <c r="AK56" s="227" t="s">
        <v>65</v>
      </c>
      <c r="AL56" s="227">
        <v>104.9</v>
      </c>
      <c r="AM56" s="227">
        <v>86.1</v>
      </c>
      <c r="AN56" s="227">
        <v>23.7</v>
      </c>
      <c r="AO56" s="227">
        <f t="shared" si="273"/>
        <v>18.800000000000011</v>
      </c>
      <c r="AP56" s="227">
        <f t="shared" si="274"/>
        <v>62.399999999999991</v>
      </c>
      <c r="AQ56" s="228">
        <f t="shared" si="275"/>
        <v>0.30128205128205149</v>
      </c>
      <c r="AR56" s="521">
        <v>1.52</v>
      </c>
      <c r="AS56" s="519">
        <f t="shared" si="276"/>
        <v>0.45794871794871828</v>
      </c>
      <c r="AU56" s="523"/>
      <c r="AV56" s="227"/>
      <c r="AW56" s="227"/>
      <c r="AX56" s="523"/>
      <c r="AY56" s="534" t="s">
        <v>517</v>
      </c>
      <c r="AZ56" s="227" t="s">
        <v>65</v>
      </c>
      <c r="BA56" s="227">
        <v>104.1</v>
      </c>
      <c r="BB56" s="227">
        <v>85</v>
      </c>
      <c r="BC56" s="227">
        <v>19.899999999999999</v>
      </c>
      <c r="BD56" s="227">
        <f t="shared" si="277"/>
        <v>19.099999999999994</v>
      </c>
      <c r="BE56" s="227">
        <f t="shared" si="278"/>
        <v>65.099999999999994</v>
      </c>
      <c r="BF56" s="228">
        <f t="shared" si="279"/>
        <v>0.29339477726574492</v>
      </c>
      <c r="BG56" s="521">
        <v>1.52</v>
      </c>
      <c r="BH56" s="519">
        <f t="shared" si="280"/>
        <v>0.4459600614439323</v>
      </c>
      <c r="BJ56" s="231">
        <v>0.38463947990543718</v>
      </c>
      <c r="BK56" s="231">
        <v>0.3896770988574268</v>
      </c>
      <c r="BL56" s="231">
        <v>0.37650574712643681</v>
      </c>
      <c r="BM56" s="231">
        <f t="shared" si="167"/>
        <v>98.707232483828165</v>
      </c>
      <c r="BN56" s="231">
        <f t="shared" si="167"/>
        <v>103.49831359322302</v>
      </c>
      <c r="BO56" s="231">
        <f t="shared" si="168"/>
        <v>0.38715828938143199</v>
      </c>
    </row>
    <row r="57" spans="1:68">
      <c r="A57" s="231">
        <f>A56+6</f>
        <v>223</v>
      </c>
      <c r="B57" s="523"/>
      <c r="C57" s="227"/>
      <c r="D57" s="227"/>
      <c r="E57" s="523"/>
      <c r="F57" s="226"/>
      <c r="G57" s="227" t="s">
        <v>65</v>
      </c>
      <c r="H57" s="227"/>
      <c r="I57" s="227"/>
      <c r="J57" s="227"/>
      <c r="K57" s="227"/>
      <c r="L57" s="227"/>
      <c r="M57" s="228"/>
      <c r="N57" s="521"/>
      <c r="O57" s="519">
        <f t="shared" si="268"/>
        <v>0</v>
      </c>
      <c r="P57" s="230">
        <f t="shared" si="154"/>
        <v>0</v>
      </c>
      <c r="Q57" s="523"/>
      <c r="R57" s="227"/>
      <c r="S57" s="227"/>
      <c r="T57" s="523"/>
      <c r="U57" s="226"/>
      <c r="V57" s="227" t="s">
        <v>65</v>
      </c>
      <c r="W57" s="227"/>
      <c r="X57" s="227"/>
      <c r="Y57" s="227"/>
      <c r="Z57" s="227"/>
      <c r="AA57" s="227"/>
      <c r="AB57" s="228"/>
      <c r="AC57" s="521"/>
      <c r="AD57" s="519">
        <f t="shared" si="272"/>
        <v>0</v>
      </c>
      <c r="AF57" s="523"/>
      <c r="AG57" s="227"/>
      <c r="AH57" s="227"/>
      <c r="AI57" s="523"/>
      <c r="AJ57" s="226"/>
      <c r="AK57" s="227" t="s">
        <v>65</v>
      </c>
      <c r="AL57" s="227"/>
      <c r="AM57" s="227"/>
      <c r="AN57" s="227"/>
      <c r="AO57" s="227"/>
      <c r="AP57" s="227"/>
      <c r="AQ57" s="228"/>
      <c r="AR57" s="521"/>
      <c r="AS57" s="519">
        <f t="shared" si="276"/>
        <v>0</v>
      </c>
      <c r="AU57" s="523"/>
      <c r="AV57" s="227"/>
      <c r="AW57" s="227"/>
      <c r="AX57" s="523"/>
      <c r="AY57" s="226"/>
      <c r="AZ57" s="227" t="s">
        <v>65</v>
      </c>
      <c r="BA57" s="227"/>
      <c r="BB57" s="227"/>
      <c r="BC57" s="227"/>
      <c r="BD57" s="227"/>
      <c r="BE57" s="227"/>
      <c r="BF57" s="228"/>
      <c r="BG57" s="521"/>
      <c r="BH57" s="519">
        <f t="shared" si="280"/>
        <v>0</v>
      </c>
      <c r="BJ57" s="231">
        <v>0.39778105056455565</v>
      </c>
      <c r="BK57" s="231">
        <v>0.35863298662704302</v>
      </c>
      <c r="BL57" s="231">
        <v>0.37662615740740712</v>
      </c>
      <c r="BM57" s="231">
        <f t="shared" si="167"/>
        <v>110.91591275685533</v>
      </c>
      <c r="BN57" s="231">
        <f t="shared" si="167"/>
        <v>95.222538204933969</v>
      </c>
      <c r="BO57" s="231">
        <f t="shared" si="168"/>
        <v>0.3782070185957993</v>
      </c>
    </row>
    <row r="58" spans="1:68">
      <c r="A58" s="231">
        <f>A29+6</f>
        <v>247</v>
      </c>
      <c r="B58" s="516"/>
      <c r="C58" s="235"/>
      <c r="D58" s="235"/>
      <c r="E58" s="517"/>
      <c r="F58" s="534" t="s">
        <v>436</v>
      </c>
      <c r="G58" s="227" t="s">
        <v>66</v>
      </c>
      <c r="H58" s="227">
        <v>100.1</v>
      </c>
      <c r="I58" s="227">
        <v>81.8</v>
      </c>
      <c r="J58" s="227">
        <v>22.5</v>
      </c>
      <c r="K58" s="227">
        <f t="shared" ref="K58:K59" si="281">H58-I58</f>
        <v>18.299999999999997</v>
      </c>
      <c r="L58" s="227">
        <f t="shared" ref="L58:L59" si="282">I58-J58</f>
        <v>59.3</v>
      </c>
      <c r="M58" s="228">
        <f t="shared" ref="M58:M59" si="283">K58/L58</f>
        <v>0.30860033726812813</v>
      </c>
      <c r="N58" s="521">
        <v>1.47</v>
      </c>
      <c r="O58" s="519">
        <f t="shared" si="268"/>
        <v>0.45364249578414834</v>
      </c>
      <c r="P58" s="520">
        <f t="shared" si="154"/>
        <v>0.45364249578414834</v>
      </c>
      <c r="Q58" s="516"/>
      <c r="R58" s="235"/>
      <c r="S58" s="235"/>
      <c r="T58" s="517"/>
      <c r="U58" s="534" t="s">
        <v>444</v>
      </c>
      <c r="V58" s="227" t="s">
        <v>66</v>
      </c>
      <c r="W58" s="227">
        <v>103</v>
      </c>
      <c r="X58" s="227">
        <v>84.2</v>
      </c>
      <c r="Y58" s="227">
        <v>22.2</v>
      </c>
      <c r="Z58" s="227">
        <f t="shared" ref="Z58:Z59" si="284">W58-X58</f>
        <v>18.799999999999997</v>
      </c>
      <c r="AA58" s="227">
        <f t="shared" ref="AA58:AA59" si="285">X58-Y58</f>
        <v>62</v>
      </c>
      <c r="AB58" s="228">
        <f t="shared" ref="AB58:AB59" si="286">Z58/AA58</f>
        <v>0.30322580645161284</v>
      </c>
      <c r="AC58" s="521">
        <v>1.47</v>
      </c>
      <c r="AD58" s="519">
        <f t="shared" si="272"/>
        <v>0.44574193548387087</v>
      </c>
      <c r="AF58" s="516"/>
      <c r="AG58" s="235"/>
      <c r="AH58" s="235"/>
      <c r="AI58" s="517"/>
      <c r="AJ58" s="534" t="s">
        <v>432</v>
      </c>
      <c r="AK58" s="227" t="s">
        <v>66</v>
      </c>
      <c r="AL58" s="227">
        <v>102.5</v>
      </c>
      <c r="AM58" s="227">
        <v>87</v>
      </c>
      <c r="AN58" s="227">
        <v>37.200000000000003</v>
      </c>
      <c r="AO58" s="227">
        <f t="shared" ref="AO58:AO59" si="287">AL58-AM58</f>
        <v>15.5</v>
      </c>
      <c r="AP58" s="227">
        <f t="shared" ref="AP58:AP59" si="288">AM58-AN58</f>
        <v>49.8</v>
      </c>
      <c r="AQ58" s="228">
        <f t="shared" ref="AQ58:AQ59" si="289">AO58/AP58</f>
        <v>0.31124497991967875</v>
      </c>
      <c r="AR58" s="521">
        <v>1.47</v>
      </c>
      <c r="AS58" s="519">
        <f t="shared" si="276"/>
        <v>0.45753012048192776</v>
      </c>
      <c r="AU58" s="516"/>
      <c r="AV58" s="235"/>
      <c r="AW58" s="235"/>
      <c r="AX58" s="517"/>
      <c r="AY58" s="534" t="s">
        <v>713</v>
      </c>
      <c r="AZ58" s="227" t="s">
        <v>66</v>
      </c>
      <c r="BA58" s="227">
        <v>118.4</v>
      </c>
      <c r="BB58" s="227">
        <v>96.8</v>
      </c>
      <c r="BC58" s="227">
        <v>26</v>
      </c>
      <c r="BD58" s="227">
        <f t="shared" ref="BD58:BD59" si="290">BA58-BB58</f>
        <v>21.600000000000009</v>
      </c>
      <c r="BE58" s="227">
        <f t="shared" ref="BE58:BE59" si="291">BB58-BC58</f>
        <v>70.8</v>
      </c>
      <c r="BF58" s="228">
        <f t="shared" ref="BF58:BF59" si="292">BD58/BE58</f>
        <v>0.305084745762712</v>
      </c>
      <c r="BG58" s="521">
        <v>1.47</v>
      </c>
      <c r="BH58" s="519">
        <f t="shared" si="280"/>
        <v>0.44847457627118664</v>
      </c>
      <c r="BJ58" s="231">
        <v>0.40008247422680421</v>
      </c>
      <c r="BK58" s="231">
        <v>0.38800679117147724</v>
      </c>
      <c r="BL58" s="231">
        <v>0.3808120624663433</v>
      </c>
      <c r="BM58" s="231">
        <f t="shared" si="167"/>
        <v>103.11223497374048</v>
      </c>
      <c r="BN58" s="231">
        <f t="shared" si="167"/>
        <v>101.88931218684014</v>
      </c>
      <c r="BO58" s="231">
        <f t="shared" si="168"/>
        <v>0.3940446326991407</v>
      </c>
    </row>
    <row r="59" spans="1:68">
      <c r="A59" s="231">
        <f>A58+6</f>
        <v>253</v>
      </c>
      <c r="B59" s="522"/>
      <c r="C59" s="227"/>
      <c r="D59" s="227"/>
      <c r="E59" s="523"/>
      <c r="F59" s="534" t="s">
        <v>481</v>
      </c>
      <c r="G59" s="227" t="s">
        <v>66</v>
      </c>
      <c r="H59" s="227">
        <v>123.5</v>
      </c>
      <c r="I59" s="227">
        <v>99.7</v>
      </c>
      <c r="J59" s="227">
        <v>22.2</v>
      </c>
      <c r="K59" s="227">
        <f t="shared" si="281"/>
        <v>23.799999999999997</v>
      </c>
      <c r="L59" s="227">
        <f t="shared" si="282"/>
        <v>77.5</v>
      </c>
      <c r="M59" s="228">
        <f t="shared" si="283"/>
        <v>0.30709677419354836</v>
      </c>
      <c r="N59" s="521">
        <v>1.47</v>
      </c>
      <c r="O59" s="519">
        <f t="shared" si="268"/>
        <v>0.45143225806451609</v>
      </c>
      <c r="P59" s="520">
        <f t="shared" si="154"/>
        <v>0.45143225806451609</v>
      </c>
      <c r="Q59" s="522"/>
      <c r="R59" s="227"/>
      <c r="S59" s="227"/>
      <c r="T59" s="523"/>
      <c r="U59" s="534" t="s">
        <v>469</v>
      </c>
      <c r="V59" s="227" t="s">
        <v>66</v>
      </c>
      <c r="W59" s="227">
        <v>100.8</v>
      </c>
      <c r="X59" s="227">
        <v>82.9</v>
      </c>
      <c r="Y59" s="227">
        <v>23.6</v>
      </c>
      <c r="Z59" s="227">
        <f t="shared" si="284"/>
        <v>17.899999999999991</v>
      </c>
      <c r="AA59" s="227">
        <f t="shared" si="285"/>
        <v>59.300000000000004</v>
      </c>
      <c r="AB59" s="228">
        <f t="shared" si="286"/>
        <v>0.3018549747048902</v>
      </c>
      <c r="AC59" s="521">
        <v>1.47</v>
      </c>
      <c r="AD59" s="519">
        <f t="shared" si="272"/>
        <v>0.44372681281618859</v>
      </c>
      <c r="AF59" s="522"/>
      <c r="AG59" s="227"/>
      <c r="AH59" s="227"/>
      <c r="AI59" s="523"/>
      <c r="AJ59" s="534" t="s">
        <v>698</v>
      </c>
      <c r="AK59" s="227" t="s">
        <v>66</v>
      </c>
      <c r="AL59" s="227">
        <v>110.2</v>
      </c>
      <c r="AM59" s="227">
        <v>89.6</v>
      </c>
      <c r="AN59" s="227">
        <v>24.2</v>
      </c>
      <c r="AO59" s="227">
        <f t="shared" si="287"/>
        <v>20.600000000000009</v>
      </c>
      <c r="AP59" s="227">
        <f t="shared" si="288"/>
        <v>65.399999999999991</v>
      </c>
      <c r="AQ59" s="228">
        <f t="shared" si="289"/>
        <v>0.31498470948012247</v>
      </c>
      <c r="AR59" s="521">
        <v>1.47</v>
      </c>
      <c r="AS59" s="519">
        <f t="shared" si="276"/>
        <v>0.46302752293578003</v>
      </c>
      <c r="AU59" s="522"/>
      <c r="AV59" s="227"/>
      <c r="AW59" s="227"/>
      <c r="AX59" s="523"/>
      <c r="AY59" s="534" t="s">
        <v>717</v>
      </c>
      <c r="AZ59" s="227" t="s">
        <v>66</v>
      </c>
      <c r="BA59" s="227">
        <v>91.8</v>
      </c>
      <c r="BB59" s="227">
        <v>75</v>
      </c>
      <c r="BC59" s="227">
        <v>20.8</v>
      </c>
      <c r="BD59" s="227">
        <f t="shared" si="290"/>
        <v>16.799999999999997</v>
      </c>
      <c r="BE59" s="227">
        <f t="shared" si="291"/>
        <v>54.2</v>
      </c>
      <c r="BF59" s="228">
        <f t="shared" si="292"/>
        <v>0.30996309963099622</v>
      </c>
      <c r="BG59" s="521">
        <v>1.47</v>
      </c>
      <c r="BH59" s="519">
        <f t="shared" si="280"/>
        <v>0.45564575645756444</v>
      </c>
      <c r="BJ59" s="231">
        <v>0.37879181708784615</v>
      </c>
      <c r="BK59" s="231">
        <v>0.39711890034364289</v>
      </c>
      <c r="BL59" s="231">
        <v>0.38724848484848479</v>
      </c>
      <c r="BM59" s="231">
        <f t="shared" si="167"/>
        <v>95.384988415324074</v>
      </c>
      <c r="BN59" s="231">
        <f t="shared" si="167"/>
        <v>102.54885838972876</v>
      </c>
      <c r="BO59" s="231">
        <f t="shared" si="168"/>
        <v>0.38795535871574449</v>
      </c>
    </row>
    <row r="60" spans="1:68">
      <c r="A60" s="231">
        <f>A59+6</f>
        <v>259</v>
      </c>
      <c r="B60" s="522"/>
      <c r="C60" s="227"/>
      <c r="D60" s="227"/>
      <c r="E60" s="523"/>
      <c r="F60" s="226"/>
      <c r="G60" s="227" t="s">
        <v>66</v>
      </c>
      <c r="H60" s="227"/>
      <c r="I60" s="227"/>
      <c r="J60" s="227"/>
      <c r="K60" s="227"/>
      <c r="L60" s="227"/>
      <c r="M60" s="228"/>
      <c r="N60" s="521"/>
      <c r="O60" s="524">
        <f t="shared" si="268"/>
        <v>0</v>
      </c>
      <c r="P60" s="230">
        <f t="shared" si="154"/>
        <v>0</v>
      </c>
      <c r="Q60" s="522"/>
      <c r="R60" s="227"/>
      <c r="S60" s="227"/>
      <c r="T60" s="523"/>
      <c r="U60" s="226"/>
      <c r="V60" s="227" t="s">
        <v>66</v>
      </c>
      <c r="W60" s="227"/>
      <c r="X60" s="227"/>
      <c r="Y60" s="227"/>
      <c r="Z60" s="227"/>
      <c r="AA60" s="227"/>
      <c r="AB60" s="228"/>
      <c r="AC60" s="521"/>
      <c r="AD60" s="524">
        <f t="shared" si="272"/>
        <v>0</v>
      </c>
      <c r="AF60" s="522"/>
      <c r="AG60" s="227"/>
      <c r="AH60" s="227"/>
      <c r="AI60" s="523"/>
      <c r="AJ60" s="226"/>
      <c r="AK60" s="227" t="s">
        <v>66</v>
      </c>
      <c r="AL60" s="227"/>
      <c r="AM60" s="227"/>
      <c r="AN60" s="227"/>
      <c r="AO60" s="227"/>
      <c r="AP60" s="227"/>
      <c r="AQ60" s="228"/>
      <c r="AR60" s="521"/>
      <c r="AS60" s="524">
        <f t="shared" si="276"/>
        <v>0</v>
      </c>
      <c r="AU60" s="522"/>
      <c r="AV60" s="227"/>
      <c r="AW60" s="227"/>
      <c r="AX60" s="523"/>
      <c r="AY60" s="226"/>
      <c r="AZ60" s="227" t="s">
        <v>66</v>
      </c>
      <c r="BA60" s="227"/>
      <c r="BB60" s="227"/>
      <c r="BC60" s="227"/>
      <c r="BD60" s="227"/>
      <c r="BE60" s="227"/>
      <c r="BF60" s="228"/>
      <c r="BG60" s="521"/>
      <c r="BH60" s="524">
        <f t="shared" si="280"/>
        <v>0</v>
      </c>
      <c r="BJ60" s="231">
        <v>0.38583284169124887</v>
      </c>
      <c r="BK60" s="231">
        <v>0.35038196915776959</v>
      </c>
      <c r="BL60" s="231">
        <v>0.38284112149532701</v>
      </c>
      <c r="BM60" s="231">
        <f t="shared" si="167"/>
        <v>110.11777878259383</v>
      </c>
      <c r="BN60" s="231">
        <f t="shared" si="167"/>
        <v>91.521508397327793</v>
      </c>
      <c r="BO60" s="231">
        <f t="shared" si="168"/>
        <v>0.36810740542450926</v>
      </c>
    </row>
    <row r="61" spans="1:68">
      <c r="A61" s="231">
        <f>A32+6</f>
        <v>283</v>
      </c>
      <c r="B61" s="523"/>
      <c r="C61" s="227"/>
      <c r="D61" s="227"/>
      <c r="E61" s="523"/>
      <c r="F61" s="534" t="s">
        <v>429</v>
      </c>
      <c r="G61" s="227" t="s">
        <v>67</v>
      </c>
      <c r="H61" s="227">
        <v>118.2</v>
      </c>
      <c r="I61" s="227">
        <v>95.3</v>
      </c>
      <c r="J61" s="227">
        <v>22.6</v>
      </c>
      <c r="K61" s="227">
        <f t="shared" ref="K61:K62" si="293">H61-I61</f>
        <v>22.900000000000006</v>
      </c>
      <c r="L61" s="227">
        <f t="shared" ref="L61:L62" si="294">I61-J61</f>
        <v>72.699999999999989</v>
      </c>
      <c r="M61" s="228">
        <f t="shared" ref="M61:M62" si="295">K61/L61</f>
        <v>0.31499312242090799</v>
      </c>
      <c r="N61" s="521">
        <v>1.45</v>
      </c>
      <c r="O61" s="519">
        <f t="shared" si="268"/>
        <v>0.45674002751031656</v>
      </c>
      <c r="P61" s="520">
        <f t="shared" si="154"/>
        <v>0.45674002751031656</v>
      </c>
      <c r="Q61" s="527">
        <f>AVERAGE(O27:O61)</f>
        <v>0.32442548373394237</v>
      </c>
      <c r="R61" s="227"/>
      <c r="S61" s="227"/>
      <c r="T61" s="523"/>
      <c r="U61" s="534" t="s">
        <v>670</v>
      </c>
      <c r="V61" s="227" t="s">
        <v>67</v>
      </c>
      <c r="W61" s="227">
        <v>105.3</v>
      </c>
      <c r="X61" s="227">
        <v>85.1</v>
      </c>
      <c r="Y61" s="227">
        <v>22.1</v>
      </c>
      <c r="Z61" s="227">
        <f t="shared" ref="Z61:Z62" si="296">W61-X61</f>
        <v>20.200000000000003</v>
      </c>
      <c r="AA61" s="227">
        <f t="shared" ref="AA61:AA62" si="297">X61-Y61</f>
        <v>62.999999999999993</v>
      </c>
      <c r="AB61" s="228">
        <f t="shared" ref="AB61:AB62" si="298">Z61/AA61</f>
        <v>0.32063492063492072</v>
      </c>
      <c r="AC61" s="521">
        <v>1.45</v>
      </c>
      <c r="AD61" s="519">
        <f t="shared" si="272"/>
        <v>0.46492063492063501</v>
      </c>
      <c r="AE61" s="527">
        <f>AVERAGE(AD27:AD61)</f>
        <v>0.31476726090426688</v>
      </c>
      <c r="AF61" s="527">
        <f>AVERAGE(AD27:AD61)</f>
        <v>0.31476726090426688</v>
      </c>
      <c r="AG61" s="227"/>
      <c r="AH61" s="227"/>
      <c r="AI61" s="523"/>
      <c r="AJ61" s="534" t="s">
        <v>694</v>
      </c>
      <c r="AK61" s="227" t="s">
        <v>67</v>
      </c>
      <c r="AL61" s="227">
        <v>114.1</v>
      </c>
      <c r="AM61" s="227">
        <v>92.6</v>
      </c>
      <c r="AN61" s="227">
        <v>26</v>
      </c>
      <c r="AO61" s="227">
        <f t="shared" ref="AO61:AO62" si="299">AL61-AM61</f>
        <v>21.5</v>
      </c>
      <c r="AP61" s="227">
        <f t="shared" ref="AP61:AP62" si="300">AM61-AN61</f>
        <v>66.599999999999994</v>
      </c>
      <c r="AQ61" s="228">
        <f t="shared" ref="AQ61:AQ62" si="301">AO61/AP61</f>
        <v>0.32282282282282287</v>
      </c>
      <c r="AR61" s="521">
        <v>1.45</v>
      </c>
      <c r="AS61" s="519">
        <f t="shared" si="276"/>
        <v>0.46809309309309316</v>
      </c>
      <c r="AT61" s="527">
        <f>AVERAGE(AS27:AS61)</f>
        <v>0.32442275818444227</v>
      </c>
      <c r="AU61" s="527">
        <f>AVERAGE(AS27:AS61)</f>
        <v>0.32442275818444227</v>
      </c>
      <c r="AV61" s="227"/>
      <c r="AW61" s="227"/>
      <c r="AX61" s="523"/>
      <c r="AY61" s="534" t="s">
        <v>503</v>
      </c>
      <c r="AZ61" s="227" t="s">
        <v>67</v>
      </c>
      <c r="BA61" s="227">
        <v>105.3</v>
      </c>
      <c r="BB61" s="227">
        <v>85.3</v>
      </c>
      <c r="BC61" s="227">
        <v>22.1</v>
      </c>
      <c r="BD61" s="227">
        <f t="shared" ref="BD61:BD62" si="302">BA61-BB61</f>
        <v>20</v>
      </c>
      <c r="BE61" s="227">
        <f t="shared" ref="BE61" si="303">BB61-BC61</f>
        <v>63.199999999999996</v>
      </c>
      <c r="BF61" s="228">
        <f t="shared" ref="BF61:BF62" si="304">BD61/BE61</f>
        <v>0.31645569620253167</v>
      </c>
      <c r="BG61" s="521">
        <v>1.45</v>
      </c>
      <c r="BH61" s="519">
        <f t="shared" si="280"/>
        <v>0.45886075949367089</v>
      </c>
      <c r="BI61" s="527">
        <f>AVERAGE(AS27:AS61)</f>
        <v>0.32442275818444227</v>
      </c>
      <c r="BJ61" s="528">
        <v>0.40512212817412335</v>
      </c>
      <c r="BK61" s="527">
        <v>0.27965048543689319</v>
      </c>
      <c r="BL61" s="527">
        <v>0.40673170731707337</v>
      </c>
      <c r="BM61" s="231">
        <f t="shared" si="167"/>
        <v>144.86730732514479</v>
      </c>
      <c r="BN61" s="231">
        <f t="shared" si="167"/>
        <v>68.755516328331822</v>
      </c>
      <c r="BO61" s="231">
        <f t="shared" si="168"/>
        <v>0.3423863068055083</v>
      </c>
      <c r="BP61" s="527"/>
    </row>
    <row r="62" spans="1:68">
      <c r="A62" s="231">
        <f>A61+6</f>
        <v>289</v>
      </c>
      <c r="B62" s="523"/>
      <c r="C62" s="227"/>
      <c r="D62" s="227"/>
      <c r="E62" s="523"/>
      <c r="F62" s="534" t="s">
        <v>464</v>
      </c>
      <c r="G62" s="227" t="s">
        <v>67</v>
      </c>
      <c r="H62" s="227">
        <v>103.3</v>
      </c>
      <c r="I62" s="227">
        <v>84.3</v>
      </c>
      <c r="J62" s="227">
        <v>24.6</v>
      </c>
      <c r="K62" s="227">
        <f t="shared" si="293"/>
        <v>19</v>
      </c>
      <c r="L62" s="227">
        <f t="shared" si="294"/>
        <v>59.699999999999996</v>
      </c>
      <c r="M62" s="228">
        <f t="shared" si="295"/>
        <v>0.31825795644891125</v>
      </c>
      <c r="N62" s="521">
        <v>1.45</v>
      </c>
      <c r="O62" s="519">
        <f t="shared" si="268"/>
        <v>0.46147403685092131</v>
      </c>
      <c r="P62" s="520">
        <f t="shared" si="154"/>
        <v>0.46147403685092131</v>
      </c>
      <c r="Q62" s="527">
        <f>AVERAGE(O28:O62)</f>
        <v>0.32591256529709983</v>
      </c>
      <c r="R62" s="227"/>
      <c r="S62" s="227"/>
      <c r="T62" s="523"/>
      <c r="U62" s="534" t="s">
        <v>675</v>
      </c>
      <c r="V62" s="227" t="s">
        <v>67</v>
      </c>
      <c r="W62" s="227">
        <v>113.7</v>
      </c>
      <c r="X62" s="227">
        <v>92</v>
      </c>
      <c r="Y62" s="227">
        <v>22.9</v>
      </c>
      <c r="Z62" s="227">
        <f t="shared" si="296"/>
        <v>21.700000000000003</v>
      </c>
      <c r="AA62" s="227">
        <f t="shared" si="297"/>
        <v>69.099999999999994</v>
      </c>
      <c r="AB62" s="228">
        <f t="shared" si="298"/>
        <v>0.31403762662807533</v>
      </c>
      <c r="AC62" s="521">
        <v>1.45</v>
      </c>
      <c r="AD62" s="519">
        <f t="shared" si="272"/>
        <v>0.45535455861070923</v>
      </c>
      <c r="AE62" s="527">
        <f>AVERAGE(AD28:AD62)</f>
        <v>0.31625969553690753</v>
      </c>
      <c r="AF62" s="527">
        <f>AVERAGE(AD28:AD62)</f>
        <v>0.31625969553690753</v>
      </c>
      <c r="AG62" s="227"/>
      <c r="AH62" s="227"/>
      <c r="AI62" s="523"/>
      <c r="AJ62" s="534" t="s">
        <v>451</v>
      </c>
      <c r="AK62" s="227" t="s">
        <v>67</v>
      </c>
      <c r="AL62" s="227">
        <v>117.5</v>
      </c>
      <c r="AM62" s="227">
        <v>95.9</v>
      </c>
      <c r="AN62" s="227">
        <v>24.6</v>
      </c>
      <c r="AO62" s="227">
        <f t="shared" si="299"/>
        <v>21.599999999999994</v>
      </c>
      <c r="AP62" s="227">
        <f t="shared" si="300"/>
        <v>71.300000000000011</v>
      </c>
      <c r="AQ62" s="228">
        <f t="shared" si="301"/>
        <v>0.30294530154277688</v>
      </c>
      <c r="AR62" s="521">
        <v>1.45</v>
      </c>
      <c r="AS62" s="519">
        <f t="shared" si="276"/>
        <v>0.43927068723702645</v>
      </c>
      <c r="AT62" s="527">
        <f>AVERAGE(AS28:AS62)</f>
        <v>0.32468893247701802</v>
      </c>
      <c r="AU62" s="527">
        <f>AVERAGE(AS28:AS62)</f>
        <v>0.32468893247701802</v>
      </c>
      <c r="AV62" s="227"/>
      <c r="AW62" s="227"/>
      <c r="AX62" s="523"/>
      <c r="AY62" s="534" t="s">
        <v>718</v>
      </c>
      <c r="AZ62" s="227" t="s">
        <v>67</v>
      </c>
      <c r="BA62" s="227">
        <v>113.3</v>
      </c>
      <c r="BB62" s="227">
        <v>92.1</v>
      </c>
      <c r="BC62" s="227">
        <v>23.8</v>
      </c>
      <c r="BD62" s="227">
        <f t="shared" si="302"/>
        <v>21.200000000000003</v>
      </c>
      <c r="BE62" s="227">
        <f>BB62-BC62</f>
        <v>68.3</v>
      </c>
      <c r="BF62" s="228">
        <f t="shared" si="304"/>
        <v>0.31039531478770138</v>
      </c>
      <c r="BG62" s="521">
        <v>1.45</v>
      </c>
      <c r="BH62" s="519">
        <f t="shared" si="280"/>
        <v>0.45007320644216697</v>
      </c>
      <c r="BI62" s="527">
        <f>AVERAGE(AS28:AS62)</f>
        <v>0.32468893247701802</v>
      </c>
      <c r="BJ62" s="528">
        <v>0.40579797979797999</v>
      </c>
      <c r="BK62" s="527">
        <v>0.41001386962552017</v>
      </c>
      <c r="BL62" s="527">
        <v>0.41178148710166934</v>
      </c>
      <c r="BM62" s="231">
        <f t="shared" si="167"/>
        <v>98.971768971769009</v>
      </c>
      <c r="BN62" s="231">
        <f t="shared" si="167"/>
        <v>99.570738964349616</v>
      </c>
      <c r="BO62" s="231">
        <f t="shared" si="168"/>
        <v>0.40790592471175008</v>
      </c>
      <c r="BP62" s="527"/>
    </row>
    <row r="63" spans="1:68">
      <c r="A63" s="231">
        <f>A62+6</f>
        <v>295</v>
      </c>
      <c r="B63" s="523"/>
      <c r="C63" s="227"/>
      <c r="D63" s="227"/>
      <c r="E63" s="523"/>
      <c r="F63" s="226"/>
      <c r="G63" s="227" t="s">
        <v>67</v>
      </c>
      <c r="H63" s="227"/>
      <c r="I63" s="227"/>
      <c r="J63" s="227"/>
      <c r="K63" s="227"/>
      <c r="L63" s="227"/>
      <c r="M63" s="228"/>
      <c r="N63" s="521"/>
      <c r="O63" s="519">
        <f t="shared" si="268"/>
        <v>0</v>
      </c>
      <c r="P63" s="230">
        <f t="shared" si="154"/>
        <v>0</v>
      </c>
      <c r="Q63" s="527">
        <f>AVERAGE(O29:O63)</f>
        <v>0.30999669735247798</v>
      </c>
      <c r="R63" s="227"/>
      <c r="S63" s="227"/>
      <c r="T63" s="523"/>
      <c r="U63" s="226"/>
      <c r="V63" s="227" t="s">
        <v>67</v>
      </c>
      <c r="W63" s="227"/>
      <c r="X63" s="227"/>
      <c r="Y63" s="227"/>
      <c r="Z63" s="227"/>
      <c r="AA63" s="227"/>
      <c r="AB63" s="228"/>
      <c r="AC63" s="521"/>
      <c r="AD63" s="519">
        <f t="shared" si="272"/>
        <v>0</v>
      </c>
      <c r="AE63" s="527">
        <f>AVERAGE(AD29:AD63)</f>
        <v>0.30117452597916416</v>
      </c>
      <c r="AF63" s="527">
        <f>AVERAGE(AD29:AD63)</f>
        <v>0.30117452597916416</v>
      </c>
      <c r="AG63" s="227"/>
      <c r="AH63" s="227"/>
      <c r="AI63" s="523"/>
      <c r="AJ63" s="226"/>
      <c r="AK63" s="227" t="s">
        <v>67</v>
      </c>
      <c r="AL63" s="227"/>
      <c r="AM63" s="227"/>
      <c r="AN63" s="227"/>
      <c r="AO63" s="227"/>
      <c r="AP63" s="227"/>
      <c r="AQ63" s="228"/>
      <c r="AR63" s="521"/>
      <c r="AS63" s="519">
        <f t="shared" si="276"/>
        <v>0</v>
      </c>
      <c r="AT63" s="527">
        <f>AVERAGE(AS29:AS63)</f>
        <v>0.30851647697330276</v>
      </c>
      <c r="AU63" s="527">
        <f>AVERAGE(AS29:AS63)</f>
        <v>0.30851647697330276</v>
      </c>
      <c r="AV63" s="227"/>
      <c r="AW63" s="227"/>
      <c r="AX63" s="523"/>
      <c r="AY63" s="226"/>
      <c r="AZ63" s="227" t="s">
        <v>67</v>
      </c>
      <c r="BA63" s="227"/>
      <c r="BB63" s="227"/>
      <c r="BC63" s="227"/>
      <c r="BD63" s="227"/>
      <c r="BE63" s="227"/>
      <c r="BF63" s="228"/>
      <c r="BG63" s="521"/>
      <c r="BH63" s="519">
        <f t="shared" si="280"/>
        <v>0</v>
      </c>
      <c r="BI63" s="527">
        <f>AVERAGE(AS29:AS63)</f>
        <v>0.30851647697330276</v>
      </c>
      <c r="BJ63" s="528">
        <v>0.4119103641456584</v>
      </c>
      <c r="BK63" s="527">
        <v>0.4037319223985889</v>
      </c>
      <c r="BL63" s="527">
        <v>0.39243143297380617</v>
      </c>
      <c r="BM63" s="231">
        <f t="shared" si="167"/>
        <v>102.02571094663038</v>
      </c>
      <c r="BN63" s="231">
        <f t="shared" si="167"/>
        <v>102.87960863357677</v>
      </c>
      <c r="BO63" s="231">
        <f t="shared" si="168"/>
        <v>0.40782114327212365</v>
      </c>
      <c r="BP63" s="527"/>
    </row>
    <row r="64" spans="1:68" ht="90">
      <c r="B64" s="529" t="s">
        <v>13</v>
      </c>
      <c r="C64" s="529" t="s">
        <v>242</v>
      </c>
      <c r="D64" s="529" t="s">
        <v>243</v>
      </c>
      <c r="E64" s="529" t="s">
        <v>244</v>
      </c>
      <c r="F64" s="530" t="s">
        <v>245</v>
      </c>
      <c r="G64" s="531" t="s">
        <v>246</v>
      </c>
      <c r="H64" s="531" t="s">
        <v>247</v>
      </c>
      <c r="I64" s="531" t="s">
        <v>248</v>
      </c>
      <c r="J64" s="531" t="s">
        <v>249</v>
      </c>
      <c r="K64" s="531" t="s">
        <v>250</v>
      </c>
      <c r="L64" s="531" t="s">
        <v>251</v>
      </c>
      <c r="M64" s="529" t="s">
        <v>252</v>
      </c>
      <c r="N64" s="529" t="s">
        <v>253</v>
      </c>
      <c r="O64" s="529" t="s">
        <v>254</v>
      </c>
      <c r="Q64" s="529" t="s">
        <v>13</v>
      </c>
      <c r="R64" s="529" t="s">
        <v>242</v>
      </c>
      <c r="S64" s="529" t="s">
        <v>243</v>
      </c>
      <c r="T64" s="529" t="s">
        <v>244</v>
      </c>
      <c r="U64" s="530" t="s">
        <v>245</v>
      </c>
      <c r="V64" s="531" t="s">
        <v>246</v>
      </c>
      <c r="W64" s="531" t="s">
        <v>247</v>
      </c>
      <c r="X64" s="531" t="s">
        <v>248</v>
      </c>
      <c r="Y64" s="531" t="s">
        <v>249</v>
      </c>
      <c r="Z64" s="531" t="s">
        <v>250</v>
      </c>
      <c r="AA64" s="531" t="s">
        <v>251</v>
      </c>
      <c r="AB64" s="529" t="s">
        <v>252</v>
      </c>
      <c r="AC64" s="529" t="s">
        <v>253</v>
      </c>
      <c r="AD64" s="529" t="s">
        <v>254</v>
      </c>
      <c r="AF64" s="529" t="s">
        <v>13</v>
      </c>
      <c r="AG64" s="529" t="s">
        <v>242</v>
      </c>
      <c r="AH64" s="529" t="s">
        <v>243</v>
      </c>
      <c r="AI64" s="529" t="s">
        <v>244</v>
      </c>
      <c r="AJ64" s="530" t="s">
        <v>245</v>
      </c>
      <c r="AK64" s="531" t="s">
        <v>246</v>
      </c>
      <c r="AL64" s="531" t="s">
        <v>247</v>
      </c>
      <c r="AM64" s="531" t="s">
        <v>248</v>
      </c>
      <c r="AN64" s="531" t="s">
        <v>249</v>
      </c>
      <c r="AO64" s="531" t="s">
        <v>250</v>
      </c>
      <c r="AP64" s="531" t="s">
        <v>251</v>
      </c>
      <c r="AQ64" s="529" t="s">
        <v>252</v>
      </c>
      <c r="AR64" s="529" t="s">
        <v>253</v>
      </c>
      <c r="AS64" s="529" t="s">
        <v>254</v>
      </c>
      <c r="AU64" s="529" t="s">
        <v>13</v>
      </c>
      <c r="AV64" s="529" t="s">
        <v>242</v>
      </c>
      <c r="AW64" s="529" t="s">
        <v>243</v>
      </c>
      <c r="AX64" s="529" t="s">
        <v>244</v>
      </c>
      <c r="AY64" s="530" t="s">
        <v>245</v>
      </c>
      <c r="AZ64" s="531" t="s">
        <v>246</v>
      </c>
      <c r="BA64" s="531" t="s">
        <v>247</v>
      </c>
      <c r="BB64" s="531" t="s">
        <v>248</v>
      </c>
      <c r="BC64" s="531" t="s">
        <v>249</v>
      </c>
      <c r="BD64" s="531" t="s">
        <v>250</v>
      </c>
      <c r="BE64" s="531" t="s">
        <v>251</v>
      </c>
      <c r="BF64" s="529" t="s">
        <v>252</v>
      </c>
      <c r="BG64" s="529" t="s">
        <v>253</v>
      </c>
      <c r="BH64" s="529" t="s">
        <v>254</v>
      </c>
      <c r="BJ64" s="529" t="s">
        <v>69</v>
      </c>
      <c r="BK64" s="529" t="s">
        <v>70</v>
      </c>
      <c r="BL64" s="231" t="s">
        <v>71</v>
      </c>
    </row>
    <row r="65" spans="66:67">
      <c r="BN65" s="234" t="s">
        <v>59</v>
      </c>
      <c r="BO65" s="532">
        <f>AVERAGE(BO19,BO54,BO58)</f>
        <v>0.29552232614724255</v>
      </c>
    </row>
    <row r="66" spans="66:67">
      <c r="BN66" s="226" t="s">
        <v>262</v>
      </c>
      <c r="BO66" s="532">
        <f>AVERAGE(BO20,BO24,BO59)</f>
        <v>0.24725430671925208</v>
      </c>
    </row>
    <row r="67" spans="66:67">
      <c r="BN67" s="226" t="s">
        <v>60</v>
      </c>
      <c r="BO67" s="532">
        <f>AVERAGE(BO49,BO25,BO60)</f>
        <v>0.32305317269402695</v>
      </c>
    </row>
    <row r="68" spans="66:67">
      <c r="BN68" s="226" t="s">
        <v>61</v>
      </c>
      <c r="BO68" s="532">
        <f>AVERAGE(BO50,BO26,BO30)</f>
        <v>0.29798638544377798</v>
      </c>
    </row>
    <row r="69" spans="66:67">
      <c r="BN69" s="226" t="s">
        <v>62</v>
      </c>
      <c r="BO69" s="532">
        <f>AVERAGE(BO51,BO55,BO31)</f>
        <v>0.3325584904350487</v>
      </c>
    </row>
    <row r="70" spans="66:67">
      <c r="BN70" s="227" t="s">
        <v>63</v>
      </c>
      <c r="BO70" s="532">
        <f>AVERAGE(BO21,BO56,BO32)</f>
        <v>0.28526872910257278</v>
      </c>
    </row>
    <row r="71" spans="66:67">
      <c r="BN71" s="227" t="s">
        <v>64</v>
      </c>
      <c r="BO71" s="532">
        <f>AVERAGE(BO22,BO57,BO61)</f>
        <v>0.29699756099805996</v>
      </c>
    </row>
    <row r="72" spans="66:67">
      <c r="BN72" s="227" t="s">
        <v>65</v>
      </c>
      <c r="BO72" s="532">
        <f>AVERAGE(BO23,BO27,BO62)</f>
        <v>0.27634796731503553</v>
      </c>
    </row>
    <row r="73" spans="66:67">
      <c r="BN73" s="227" t="s">
        <v>66</v>
      </c>
      <c r="BO73" s="532">
        <f>AVERAGE(BO52,BO28,BO63)</f>
        <v>0.33766888109571752</v>
      </c>
    </row>
    <row r="74" spans="66:67">
      <c r="BN74" s="227" t="s">
        <v>67</v>
      </c>
      <c r="BO74" s="532">
        <f>AVERAGE(BO53,BO29,BO64)</f>
        <v>0.27831808622704457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204"/>
  <sheetViews>
    <sheetView workbookViewId="0">
      <pane ySplit="12" topLeftCell="A15" activePane="bottomLeft" state="frozen"/>
      <selection activeCell="D1" sqref="D1"/>
      <selection pane="bottomLeft" activeCell="G27" sqref="G27"/>
    </sheetView>
  </sheetViews>
  <sheetFormatPr defaultRowHeight="12.75"/>
  <cols>
    <col min="1" max="1" width="7.7109375" style="278" customWidth="1"/>
    <col min="2" max="3" width="7.140625" style="278" customWidth="1"/>
    <col min="4" max="4" width="9" style="284" customWidth="1"/>
    <col min="5" max="5" width="6.5703125" style="278" customWidth="1"/>
    <col min="6" max="6" width="4.42578125" style="278" customWidth="1"/>
    <col min="7" max="7" width="13.28515625" style="281" customWidth="1"/>
    <col min="8" max="8" width="7.85546875" style="281" customWidth="1"/>
    <col min="9" max="9" width="8.7109375" style="281" customWidth="1"/>
    <col min="10" max="10" width="8" style="278" customWidth="1"/>
    <col min="11" max="11" width="8.140625" style="278" customWidth="1"/>
    <col min="12" max="12" width="7.5703125" style="278" customWidth="1"/>
    <col min="13" max="13" width="7.42578125" style="278" customWidth="1"/>
    <col min="14" max="14" width="8.5703125" style="278" customWidth="1"/>
    <col min="15" max="15" width="7.5703125" style="278" customWidth="1"/>
    <col min="16" max="16" width="8" style="281" customWidth="1"/>
    <col min="17" max="17" width="5.85546875" style="278" customWidth="1"/>
    <col min="18" max="18" width="5.5703125" style="278" customWidth="1"/>
    <col min="19" max="19" width="6.7109375" style="278" customWidth="1"/>
    <col min="20" max="20" width="7.140625" style="278" customWidth="1"/>
    <col min="21" max="21" width="6.7109375" style="278" customWidth="1"/>
    <col min="22" max="16384" width="9.140625" style="45"/>
  </cols>
  <sheetData>
    <row r="1" spans="1:48" s="35" customFormat="1">
      <c r="A1" s="277" t="s">
        <v>142</v>
      </c>
      <c r="E1" s="36" t="s">
        <v>143</v>
      </c>
      <c r="F1" s="37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37"/>
      <c r="S1" s="37"/>
    </row>
    <row r="2" spans="1:48" s="35" customFormat="1"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48" s="35" customFormat="1">
      <c r="F3" s="38"/>
      <c r="P3" s="38"/>
      <c r="Q3" s="38"/>
      <c r="R3" s="38"/>
      <c r="S3" s="38"/>
    </row>
    <row r="4" spans="1:48" s="35" customFormat="1">
      <c r="A4" s="36" t="s">
        <v>144</v>
      </c>
      <c r="B4" s="39"/>
      <c r="C4" s="39"/>
      <c r="D4" s="39"/>
      <c r="E4" s="36" t="s">
        <v>145</v>
      </c>
      <c r="F4" s="37"/>
      <c r="J4" s="36" t="s">
        <v>589</v>
      </c>
      <c r="O4" s="36"/>
      <c r="P4" s="38"/>
      <c r="Q4" s="38"/>
      <c r="R4" s="38"/>
      <c r="S4" s="38"/>
    </row>
    <row r="5" spans="1:48" s="43" customFormat="1">
      <c r="A5" s="46"/>
      <c r="B5" s="47"/>
      <c r="C5" s="47"/>
      <c r="D5" s="46"/>
      <c r="E5" s="36" t="s">
        <v>354</v>
      </c>
      <c r="F5" s="48"/>
      <c r="G5" s="46"/>
      <c r="H5" s="46"/>
      <c r="I5" s="46"/>
      <c r="J5" s="46"/>
      <c r="L5" s="46"/>
      <c r="N5" s="46"/>
      <c r="O5" s="47"/>
      <c r="P5" s="47"/>
    </row>
    <row r="6" spans="1:48">
      <c r="A6" s="283" t="s">
        <v>562</v>
      </c>
      <c r="D6" s="279"/>
      <c r="E6" s="45"/>
      <c r="F6" s="45"/>
      <c r="G6" s="280"/>
      <c r="H6" s="280"/>
      <c r="J6" s="45"/>
      <c r="K6" s="45"/>
      <c r="L6" s="45"/>
      <c r="M6" s="45"/>
      <c r="N6" s="45"/>
      <c r="O6" s="45"/>
      <c r="P6" s="280"/>
      <c r="Q6" s="45"/>
      <c r="R6" s="45"/>
      <c r="S6" s="45"/>
      <c r="T6" s="45"/>
      <c r="U6" s="45"/>
      <c r="AQ6" s="282"/>
      <c r="AV6" s="278"/>
    </row>
    <row r="7" spans="1:48" ht="13.5" thickBot="1"/>
    <row r="8" spans="1:48" ht="13.5" customHeight="1" thickBot="1">
      <c r="A8" s="659" t="s">
        <v>89</v>
      </c>
      <c r="B8" s="659" t="s">
        <v>90</v>
      </c>
      <c r="C8" s="659" t="s">
        <v>91</v>
      </c>
      <c r="D8" s="662" t="s">
        <v>563</v>
      </c>
      <c r="E8" s="665" t="s">
        <v>564</v>
      </c>
      <c r="F8" s="656" t="s">
        <v>167</v>
      </c>
      <c r="G8" s="639" t="s">
        <v>565</v>
      </c>
      <c r="H8" s="642" t="s">
        <v>566</v>
      </c>
      <c r="I8" s="645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6"/>
      <c r="V8" s="647"/>
      <c r="W8" s="285"/>
    </row>
    <row r="9" spans="1:48" ht="13.5" thickBot="1">
      <c r="A9" s="660"/>
      <c r="B9" s="660"/>
      <c r="C9" s="660"/>
      <c r="D9" s="663"/>
      <c r="E9" s="666"/>
      <c r="F9" s="657"/>
      <c r="G9" s="640"/>
      <c r="H9" s="643"/>
      <c r="I9" s="648" t="s">
        <v>567</v>
      </c>
      <c r="J9" s="649"/>
      <c r="K9" s="649"/>
      <c r="L9" s="650"/>
      <c r="M9" s="648" t="s">
        <v>568</v>
      </c>
      <c r="N9" s="649"/>
      <c r="O9" s="649"/>
      <c r="P9" s="650"/>
      <c r="Q9" s="651" t="s">
        <v>569</v>
      </c>
      <c r="R9" s="652"/>
      <c r="S9" s="652"/>
      <c r="T9" s="653"/>
      <c r="U9" s="654" t="s">
        <v>570</v>
      </c>
      <c r="V9" s="654" t="s">
        <v>571</v>
      </c>
      <c r="W9" s="285"/>
    </row>
    <row r="10" spans="1:48" ht="174" thickBot="1">
      <c r="A10" s="660"/>
      <c r="B10" s="660"/>
      <c r="C10" s="660"/>
      <c r="D10" s="663"/>
      <c r="E10" s="667"/>
      <c r="F10" s="658"/>
      <c r="G10" s="641"/>
      <c r="H10" s="644"/>
      <c r="I10" s="286" t="s">
        <v>572</v>
      </c>
      <c r="J10" s="287" t="s">
        <v>573</v>
      </c>
      <c r="K10" s="287" t="s">
        <v>574</v>
      </c>
      <c r="L10" s="288" t="s">
        <v>575</v>
      </c>
      <c r="M10" s="289" t="s">
        <v>576</v>
      </c>
      <c r="N10" s="287" t="s">
        <v>577</v>
      </c>
      <c r="O10" s="287" t="s">
        <v>578</v>
      </c>
      <c r="P10" s="290" t="s">
        <v>579</v>
      </c>
      <c r="Q10" s="291" t="s">
        <v>572</v>
      </c>
      <c r="R10" s="292" t="s">
        <v>573</v>
      </c>
      <c r="S10" s="293" t="s">
        <v>580</v>
      </c>
      <c r="T10" s="293" t="s">
        <v>581</v>
      </c>
      <c r="U10" s="655"/>
      <c r="V10" s="655"/>
      <c r="W10" s="285"/>
      <c r="Y10" s="432" t="s">
        <v>591</v>
      </c>
      <c r="AA10" s="432" t="s">
        <v>590</v>
      </c>
    </row>
    <row r="11" spans="1:48" s="285" customFormat="1" ht="37.5" customHeight="1" thickBot="1">
      <c r="A11" s="661"/>
      <c r="B11" s="661"/>
      <c r="C11" s="661"/>
      <c r="D11" s="664"/>
      <c r="E11" s="294" t="s">
        <v>41</v>
      </c>
      <c r="F11" s="295"/>
      <c r="G11" s="296" t="s">
        <v>14</v>
      </c>
      <c r="H11" s="297" t="s">
        <v>582</v>
      </c>
      <c r="I11" s="298"/>
      <c r="J11" s="294"/>
      <c r="K11" s="294"/>
      <c r="L11" s="294"/>
      <c r="M11" s="294"/>
      <c r="N11" s="294"/>
      <c r="O11" s="294"/>
      <c r="P11" s="298"/>
      <c r="Q11" s="299" t="s">
        <v>583</v>
      </c>
      <c r="R11" s="299" t="s">
        <v>583</v>
      </c>
      <c r="S11" s="299" t="s">
        <v>583</v>
      </c>
      <c r="T11" s="299" t="s">
        <v>583</v>
      </c>
      <c r="U11" s="300"/>
      <c r="V11" s="300"/>
      <c r="W11" s="45"/>
    </row>
    <row r="12" spans="1:48" ht="13.5" thickBot="1">
      <c r="A12" s="301" t="s">
        <v>1</v>
      </c>
      <c r="B12" s="301" t="s">
        <v>2</v>
      </c>
      <c r="C12" s="301" t="s">
        <v>3</v>
      </c>
      <c r="D12" s="302" t="s">
        <v>4</v>
      </c>
      <c r="E12" s="303" t="s">
        <v>5</v>
      </c>
      <c r="F12" s="301" t="s">
        <v>6</v>
      </c>
      <c r="G12" s="304" t="s">
        <v>7</v>
      </c>
      <c r="H12" s="305" t="s">
        <v>27</v>
      </c>
      <c r="I12" s="306" t="s">
        <v>8</v>
      </c>
      <c r="J12" s="307" t="s">
        <v>9</v>
      </c>
      <c r="K12" s="307" t="s">
        <v>11</v>
      </c>
      <c r="L12" s="308" t="s">
        <v>12</v>
      </c>
      <c r="M12" s="301" t="s">
        <v>28</v>
      </c>
      <c r="N12" s="301" t="s">
        <v>29</v>
      </c>
      <c r="O12" s="301" t="s">
        <v>30</v>
      </c>
      <c r="P12" s="309" t="s">
        <v>31</v>
      </c>
      <c r="Q12" s="310" t="s">
        <v>34</v>
      </c>
      <c r="R12" s="310" t="s">
        <v>35</v>
      </c>
      <c r="S12" s="303" t="s">
        <v>36</v>
      </c>
      <c r="T12" s="303" t="s">
        <v>36</v>
      </c>
      <c r="U12" s="301" t="s">
        <v>584</v>
      </c>
      <c r="V12" s="301" t="s">
        <v>585</v>
      </c>
    </row>
    <row r="13" spans="1:48" ht="15.75">
      <c r="A13" s="311"/>
      <c r="B13" s="312">
        <v>1</v>
      </c>
      <c r="C13" s="313">
        <v>1</v>
      </c>
      <c r="D13" s="314">
        <v>42270</v>
      </c>
      <c r="E13" s="315" t="s">
        <v>37</v>
      </c>
      <c r="F13" s="316"/>
      <c r="G13" s="356">
        <f>SUM(I14:L14)</f>
        <v>7.0956176470588233</v>
      </c>
      <c r="H13" s="313">
        <v>0.55000000000000004</v>
      </c>
      <c r="I13" s="317">
        <v>5.0099999999999999E-2</v>
      </c>
      <c r="J13" s="318">
        <v>3.5993600000000001E-2</v>
      </c>
      <c r="K13" s="318">
        <v>3.6489500000000001E-2</v>
      </c>
      <c r="L13" s="319">
        <v>1.9205000000000001E-3</v>
      </c>
      <c r="M13" s="320"/>
      <c r="N13" s="318">
        <v>3.0499999999999999E-2</v>
      </c>
      <c r="O13" s="321">
        <v>3.1559400000000001E-2</v>
      </c>
      <c r="P13" s="322">
        <v>0.27552000000000004</v>
      </c>
      <c r="Q13" s="323"/>
      <c r="R13" s="323"/>
      <c r="S13" s="323"/>
      <c r="T13" s="323"/>
      <c r="U13" s="324"/>
      <c r="V13" s="325"/>
      <c r="W13" s="156"/>
      <c r="X13" s="156"/>
      <c r="Y13" s="156"/>
    </row>
    <row r="14" spans="1:48" ht="15.75">
      <c r="A14" s="326"/>
      <c r="B14" s="327"/>
      <c r="C14" s="328"/>
      <c r="D14" s="329"/>
      <c r="E14" s="330"/>
      <c r="F14" s="331"/>
      <c r="H14" s="332"/>
      <c r="I14" s="332">
        <f>I13*1000/20.04*1</f>
        <v>2.5</v>
      </c>
      <c r="J14" s="332">
        <f>J13*1000/12.16*1</f>
        <v>2.96</v>
      </c>
      <c r="K14" s="332">
        <f>K13*1000/23*1</f>
        <v>1.5865</v>
      </c>
      <c r="L14" s="332">
        <f>L13*1000/39.1</f>
        <v>4.911764705882353E-2</v>
      </c>
      <c r="M14" s="333"/>
      <c r="N14" s="334">
        <f>N13*1000/61.01</f>
        <v>0.49991804622193087</v>
      </c>
      <c r="O14" s="334">
        <f>O13*1000/35.46</f>
        <v>0.89</v>
      </c>
      <c r="P14" s="332">
        <f>P13*1000/48.03</f>
        <v>5.7364147407870085</v>
      </c>
      <c r="Q14" s="332"/>
      <c r="R14" s="332"/>
      <c r="S14" s="332"/>
      <c r="T14" s="332"/>
      <c r="U14" s="335">
        <f>K14*10/((I14+J14)*10/2)^0.5</f>
        <v>3.0363983930744665</v>
      </c>
      <c r="V14" s="336"/>
      <c r="W14" s="337">
        <f>SUM(I14:L14)</f>
        <v>7.0956176470588233</v>
      </c>
      <c r="X14" s="338">
        <f>SUM(N14:P14)</f>
        <v>7.1263327870089395</v>
      </c>
      <c r="Y14" s="337">
        <f>W14/X14</f>
        <v>0.99568990940107249</v>
      </c>
      <c r="Z14" s="280">
        <f>SUM(I13:P13)</f>
        <v>0.46208300000000008</v>
      </c>
      <c r="AA14" s="265">
        <f>Z14/H13</f>
        <v>0.84015090909090917</v>
      </c>
    </row>
    <row r="15" spans="1:48" ht="15.75">
      <c r="A15" s="326"/>
      <c r="B15" s="327"/>
      <c r="C15" s="328"/>
      <c r="D15" s="339"/>
      <c r="E15" s="340" t="s">
        <v>586</v>
      </c>
      <c r="F15" s="331"/>
      <c r="G15" s="356">
        <f>SUM(I16:L16)</f>
        <v>3.2049705882352946</v>
      </c>
      <c r="H15" s="328">
        <v>0.23499999999999999</v>
      </c>
      <c r="I15" s="341">
        <v>4.0079999999999998E-2</v>
      </c>
      <c r="J15" s="342">
        <v>5.9584E-3</v>
      </c>
      <c r="K15" s="343">
        <v>1.5950499999999999E-2</v>
      </c>
      <c r="L15" s="344">
        <v>8.3949999999999997E-4</v>
      </c>
      <c r="M15" s="333"/>
      <c r="N15" s="343">
        <v>3.0499999999999999E-2</v>
      </c>
      <c r="O15" s="343">
        <v>2.8013400000000001E-2</v>
      </c>
      <c r="P15" s="345">
        <v>9.264E-2</v>
      </c>
      <c r="Q15" s="332"/>
      <c r="R15" s="332"/>
      <c r="S15" s="332"/>
      <c r="T15" s="332"/>
      <c r="U15" s="335"/>
      <c r="V15" s="336"/>
      <c r="W15" s="156"/>
      <c r="X15" s="156"/>
      <c r="Y15" s="337"/>
      <c r="Z15" s="135"/>
      <c r="AA15" s="135"/>
    </row>
    <row r="16" spans="1:48" s="35" customFormat="1" ht="15.75">
      <c r="A16" s="346"/>
      <c r="B16" s="347"/>
      <c r="C16" s="94"/>
      <c r="D16" s="348"/>
      <c r="E16" s="349"/>
      <c r="F16" s="350"/>
      <c r="G16" s="350"/>
      <c r="H16" s="332"/>
      <c r="I16" s="332">
        <f>I15*1000/20.04*1</f>
        <v>2</v>
      </c>
      <c r="J16" s="332">
        <f>J15*1000/12.16*1</f>
        <v>0.49</v>
      </c>
      <c r="K16" s="332">
        <f>K15*1000/23*1</f>
        <v>0.69350000000000001</v>
      </c>
      <c r="L16" s="332">
        <f>L15*1000/39.1</f>
        <v>2.1470588235294116E-2</v>
      </c>
      <c r="M16" s="333"/>
      <c r="N16" s="334">
        <f>N15*1000/61.01</f>
        <v>0.49991804622193087</v>
      </c>
      <c r="O16" s="334">
        <f>O15*1000/35.46</f>
        <v>0.79</v>
      </c>
      <c r="P16" s="332">
        <f>P15*1000/48.03</f>
        <v>1.9287945034353529</v>
      </c>
      <c r="Q16" s="351"/>
      <c r="R16" s="351"/>
      <c r="S16" s="351"/>
      <c r="T16" s="351"/>
      <c r="U16" s="335">
        <f>K16*10/((I16+J16)*10/2)^0.5</f>
        <v>1.9654490478868583</v>
      </c>
      <c r="V16" s="336"/>
      <c r="W16" s="337">
        <f>SUM(I16:L16)</f>
        <v>3.2049705882352946</v>
      </c>
      <c r="X16" s="353">
        <f>SUM(N16:P16)</f>
        <v>3.2187125496572837</v>
      </c>
      <c r="Y16" s="134">
        <f>W16/X16</f>
        <v>0.99573060308742001</v>
      </c>
      <c r="Z16" s="354">
        <f>SUM(I15:P15)</f>
        <v>0.2139818</v>
      </c>
      <c r="AA16" s="35">
        <f>Z16/H15</f>
        <v>0.91056085106382989</v>
      </c>
      <c r="AC16" s="45"/>
    </row>
    <row r="17" spans="1:29" ht="15.75">
      <c r="A17" s="326"/>
      <c r="B17" s="327"/>
      <c r="C17" s="328"/>
      <c r="D17" s="339"/>
      <c r="E17" s="355" t="s">
        <v>587</v>
      </c>
      <c r="F17" s="331"/>
      <c r="G17" s="356">
        <f>SUM(I18:L18)</f>
        <v>6.2071176470588236</v>
      </c>
      <c r="H17" s="328">
        <v>0.53</v>
      </c>
      <c r="I17" s="356">
        <v>3.5069999999999997E-2</v>
      </c>
      <c r="J17" s="331">
        <v>1.2038400000000001E-2</v>
      </c>
      <c r="K17" s="357">
        <v>7.7349000000000001E-2</v>
      </c>
      <c r="L17" s="352">
        <v>4.0710000000000008E-3</v>
      </c>
      <c r="M17" s="333"/>
      <c r="N17" s="357">
        <v>2.6839999999999999E-2</v>
      </c>
      <c r="O17" s="357">
        <v>2.8013400000000001E-2</v>
      </c>
      <c r="P17" s="351">
        <v>0.2424</v>
      </c>
      <c r="Q17" s="332"/>
      <c r="R17" s="332"/>
      <c r="S17" s="332"/>
      <c r="T17" s="332"/>
      <c r="U17" s="335"/>
      <c r="V17" s="336"/>
      <c r="W17" s="156"/>
      <c r="X17" s="156"/>
      <c r="Y17" s="337"/>
      <c r="Z17" s="35"/>
      <c r="AA17" s="35"/>
    </row>
    <row r="18" spans="1:29" ht="15.75">
      <c r="A18" s="326"/>
      <c r="B18" s="327"/>
      <c r="C18" s="328"/>
      <c r="D18" s="329"/>
      <c r="E18" s="330"/>
      <c r="F18" s="331"/>
      <c r="G18" s="331"/>
      <c r="H18" s="332"/>
      <c r="I18" s="332">
        <f>I17*1000/20.04*1</f>
        <v>1.75</v>
      </c>
      <c r="J18" s="332">
        <f>J17*1000/12.16*1</f>
        <v>0.9900000000000001</v>
      </c>
      <c r="K18" s="332">
        <f>K17*1000/23*1</f>
        <v>3.363</v>
      </c>
      <c r="L18" s="332">
        <f>L17*1000/39.1</f>
        <v>0.10411764705882354</v>
      </c>
      <c r="M18" s="333"/>
      <c r="N18" s="334">
        <f>N17*1000/61.01</f>
        <v>0.43992788067529914</v>
      </c>
      <c r="O18" s="334">
        <f>O17*1000/35.46</f>
        <v>0.79</v>
      </c>
      <c r="P18" s="332">
        <f>P17*1000/48.03</f>
        <v>5.04684572142411</v>
      </c>
      <c r="Q18" s="332"/>
      <c r="R18" s="332"/>
      <c r="S18" s="332"/>
      <c r="T18" s="332"/>
      <c r="U18" s="335">
        <f>K18*10/((I18+J18)*10/2)^0.5</f>
        <v>9.085871361303802</v>
      </c>
      <c r="V18" s="336"/>
      <c r="W18" s="337">
        <f>SUM(I18:L18)</f>
        <v>6.2071176470588236</v>
      </c>
      <c r="X18" s="338">
        <f>SUM(N18:P18)</f>
        <v>6.2767736020994089</v>
      </c>
      <c r="Y18" s="337">
        <f>W18/X18</f>
        <v>0.98890258603284853</v>
      </c>
      <c r="Z18" s="280">
        <f>SUM(I17:P17)</f>
        <v>0.42578179999999999</v>
      </c>
      <c r="AA18" s="265">
        <f>Z18/H17</f>
        <v>0.8033618867924528</v>
      </c>
    </row>
    <row r="19" spans="1:29" ht="15.75">
      <c r="A19" s="326"/>
      <c r="B19" s="327"/>
      <c r="C19" s="328"/>
      <c r="D19" s="339"/>
      <c r="E19" s="340" t="s">
        <v>588</v>
      </c>
      <c r="F19" s="331"/>
      <c r="G19" s="356">
        <f>SUM(I20:L20)</f>
        <v>3.8709705882352936</v>
      </c>
      <c r="H19" s="328">
        <v>0.28499999999999998</v>
      </c>
      <c r="I19" s="358">
        <v>3.0059999999999996E-2</v>
      </c>
      <c r="J19" s="359">
        <v>1.2038400000000001E-2</v>
      </c>
      <c r="K19" s="359">
        <v>3.0808499999999999E-2</v>
      </c>
      <c r="L19" s="360">
        <v>1.6215000000000001E-3</v>
      </c>
      <c r="M19" s="333"/>
      <c r="N19" s="359">
        <v>3.6600000000000001E-2</v>
      </c>
      <c r="O19" s="359">
        <v>2.4467399999999997E-2</v>
      </c>
      <c r="P19" s="358">
        <v>0.12528</v>
      </c>
      <c r="Q19" s="332"/>
      <c r="R19" s="332"/>
      <c r="S19" s="332"/>
      <c r="T19" s="332"/>
      <c r="U19" s="335"/>
      <c r="V19" s="336"/>
      <c r="W19" s="156"/>
      <c r="X19" s="156"/>
      <c r="Y19" s="337"/>
      <c r="Z19" s="35"/>
      <c r="AA19" s="35"/>
    </row>
    <row r="20" spans="1:29" ht="16.5" thickBot="1">
      <c r="A20" s="326"/>
      <c r="B20" s="327"/>
      <c r="C20" s="328"/>
      <c r="D20" s="361"/>
      <c r="E20" s="362"/>
      <c r="F20" s="363"/>
      <c r="G20" s="363"/>
      <c r="H20" s="364"/>
      <c r="I20" s="364">
        <f>I19*1000/20.04</f>
        <v>1.4999999999999998</v>
      </c>
      <c r="J20" s="364">
        <f>J19*1000/12.16</f>
        <v>0.9900000000000001</v>
      </c>
      <c r="K20" s="364">
        <f>K19*1000/23</f>
        <v>1.3394999999999999</v>
      </c>
      <c r="L20" s="364">
        <f>L19*1000/39.1</f>
        <v>4.147058823529412E-2</v>
      </c>
      <c r="M20" s="365"/>
      <c r="N20" s="366">
        <f>N19*1000/61.01</f>
        <v>0.59990165546631702</v>
      </c>
      <c r="O20" s="366">
        <f>O19*1000/35.46</f>
        <v>0.69</v>
      </c>
      <c r="P20" s="364">
        <f>P19*1000/48.03</f>
        <v>2.6083697688944407</v>
      </c>
      <c r="Q20" s="364"/>
      <c r="R20" s="364"/>
      <c r="S20" s="364"/>
      <c r="T20" s="364"/>
      <c r="U20" s="335">
        <f>K20*10/((I20+J20)*10/2)^0.5</f>
        <v>3.7962782979732466</v>
      </c>
      <c r="V20" s="367"/>
      <c r="W20" s="337">
        <f>SUM(I20:L20)</f>
        <v>3.8709705882352936</v>
      </c>
      <c r="X20" s="338">
        <f>SUM(N20:P20)</f>
        <v>3.8982714243607575</v>
      </c>
      <c r="Y20" s="337">
        <f>W20/X20</f>
        <v>0.9929966815663841</v>
      </c>
      <c r="Z20" s="280">
        <f>SUM(I19:P19)</f>
        <v>0.26087579999999999</v>
      </c>
      <c r="AA20" s="45">
        <f>Z20/H19</f>
        <v>0.91535368421052632</v>
      </c>
    </row>
    <row r="21" spans="1:29" ht="15.75">
      <c r="A21" s="326"/>
      <c r="B21" s="312">
        <v>2</v>
      </c>
      <c r="C21" s="368">
        <v>1</v>
      </c>
      <c r="D21" s="314"/>
      <c r="E21" s="355" t="s">
        <v>37</v>
      </c>
      <c r="F21" s="316"/>
      <c r="G21" s="356">
        <f>SUM(I22:L22)</f>
        <v>5.3554117647058828</v>
      </c>
      <c r="H21" s="345">
        <v>0.39</v>
      </c>
      <c r="I21" s="369">
        <v>2.0039999999999999E-2</v>
      </c>
      <c r="J21" s="370">
        <v>3.29536E-2</v>
      </c>
      <c r="K21" s="370">
        <v>3.6707999999999998E-2</v>
      </c>
      <c r="L21" s="371">
        <v>1.9320000000000001E-3</v>
      </c>
      <c r="M21" s="372"/>
      <c r="N21" s="370">
        <v>3.0499999999999999E-2</v>
      </c>
      <c r="O21" s="370">
        <v>4.8934799999999994E-2</v>
      </c>
      <c r="P21" s="369">
        <v>0.16847999999999999</v>
      </c>
      <c r="Q21" s="369"/>
      <c r="R21" s="369"/>
      <c r="S21" s="369"/>
      <c r="T21" s="369"/>
      <c r="U21" s="324"/>
      <c r="V21" s="374"/>
      <c r="W21" s="156"/>
      <c r="X21" s="156"/>
      <c r="Y21" s="337"/>
      <c r="Z21" s="35"/>
      <c r="AA21" s="35"/>
    </row>
    <row r="22" spans="1:29" s="35" customFormat="1" ht="15.75">
      <c r="A22" s="346"/>
      <c r="B22" s="347"/>
      <c r="C22" s="94"/>
      <c r="D22" s="375"/>
      <c r="E22" s="349"/>
      <c r="F22" s="350"/>
      <c r="G22" s="281"/>
      <c r="H22" s="332"/>
      <c r="I22" s="351">
        <f>I21*1000/20.04</f>
        <v>1</v>
      </c>
      <c r="J22" s="351">
        <f>J21*1000/12.16</f>
        <v>2.71</v>
      </c>
      <c r="K22" s="351">
        <f>K21*1000/23</f>
        <v>1.5959999999999999</v>
      </c>
      <c r="L22" s="351">
        <f>L21*1000/39.1</f>
        <v>4.9411764705882356E-2</v>
      </c>
      <c r="M22" s="91"/>
      <c r="N22" s="352">
        <f>N21*1000/61.01</f>
        <v>0.49991804622193087</v>
      </c>
      <c r="O22" s="352">
        <f>O21*1000/35.46</f>
        <v>1.38</v>
      </c>
      <c r="P22" s="351">
        <f>P21*1000/48.03</f>
        <v>3.5078076202373514</v>
      </c>
      <c r="Q22" s="351"/>
      <c r="R22" s="351"/>
      <c r="S22" s="351"/>
      <c r="T22" s="369"/>
      <c r="U22" s="335">
        <f>K22*10/((I22+J22)*10/2)^0.5</f>
        <v>3.7056204124963243</v>
      </c>
      <c r="V22" s="376" t="e">
        <f>S21/(Q21+R21+S21+T21)*100</f>
        <v>#DIV/0!</v>
      </c>
      <c r="W22" s="337">
        <f>SUM(I22:L22)</f>
        <v>5.3554117647058828</v>
      </c>
      <c r="X22" s="353">
        <f>SUM(N22:P22)</f>
        <v>5.3877256664592821</v>
      </c>
      <c r="Y22" s="134">
        <f>W22/X22</f>
        <v>0.99400231122483351</v>
      </c>
      <c r="Z22" s="354">
        <f>SUM(I21:P21)</f>
        <v>0.33954839999999997</v>
      </c>
      <c r="AA22" s="35">
        <f>Z22/H21</f>
        <v>0.87063692307692298</v>
      </c>
      <c r="AC22" s="45"/>
    </row>
    <row r="23" spans="1:29" ht="15.75">
      <c r="A23" s="326"/>
      <c r="B23" s="327"/>
      <c r="C23" s="377"/>
      <c r="D23" s="378"/>
      <c r="E23" s="355" t="s">
        <v>586</v>
      </c>
      <c r="F23" s="331"/>
      <c r="G23" s="356">
        <f>SUM(I24:L24)</f>
        <v>3.2642352941176473</v>
      </c>
      <c r="H23" s="332">
        <v>0.245</v>
      </c>
      <c r="I23" s="356">
        <v>5.0099999999999999E-2</v>
      </c>
      <c r="J23" s="331">
        <v>5.9584E-3</v>
      </c>
      <c r="K23" s="379">
        <v>6.1180000000000002E-3</v>
      </c>
      <c r="L23" s="334">
        <v>3.2200000000000002E-4</v>
      </c>
      <c r="M23" s="333"/>
      <c r="N23" s="379">
        <v>2.6839999999999999E-2</v>
      </c>
      <c r="O23" s="379">
        <v>3.5105399999999995E-2</v>
      </c>
      <c r="P23" s="332">
        <v>8.832000000000001E-2</v>
      </c>
      <c r="Q23" s="332"/>
      <c r="R23" s="332"/>
      <c r="S23" s="332"/>
      <c r="T23" s="345"/>
      <c r="U23" s="335"/>
      <c r="V23" s="336"/>
      <c r="W23" s="156"/>
      <c r="X23" s="156"/>
      <c r="Y23" s="337"/>
    </row>
    <row r="24" spans="1:29" s="35" customFormat="1" ht="15.75">
      <c r="A24" s="346"/>
      <c r="B24" s="347"/>
      <c r="C24" s="94"/>
      <c r="D24" s="375"/>
      <c r="E24" s="349"/>
      <c r="F24" s="350"/>
      <c r="G24" s="350"/>
      <c r="H24" s="332"/>
      <c r="I24" s="351">
        <f>I23*1000/20.04</f>
        <v>2.5</v>
      </c>
      <c r="J24" s="351">
        <f>J23*1000/12.16</f>
        <v>0.49</v>
      </c>
      <c r="K24" s="351">
        <f>K23*1000/23</f>
        <v>0.26600000000000001</v>
      </c>
      <c r="L24" s="351">
        <f>L23*1000/39.1</f>
        <v>8.2352941176470594E-3</v>
      </c>
      <c r="M24" s="91"/>
      <c r="N24" s="352">
        <f>N23*1000/61.01</f>
        <v>0.43992788067529914</v>
      </c>
      <c r="O24" s="352">
        <f>O23*1000/35.46</f>
        <v>0.98999999999999988</v>
      </c>
      <c r="P24" s="351">
        <f>P23*1000/48.03</f>
        <v>1.8388507183010618</v>
      </c>
      <c r="Q24" s="351"/>
      <c r="R24" s="351"/>
      <c r="S24" s="351"/>
      <c r="T24" s="345"/>
      <c r="U24" s="335">
        <f>K24*10/((I24+J24)*10/2)^0.5</f>
        <v>0.6879565981487894</v>
      </c>
      <c r="V24" s="376" t="e">
        <f>S23/(Q23+R23+S23+T23)*100</f>
        <v>#DIV/0!</v>
      </c>
      <c r="W24" s="337">
        <f>SUM(I24:L24)</f>
        <v>3.2642352941176473</v>
      </c>
      <c r="X24" s="353">
        <f>SUM(N24:P24)</f>
        <v>3.2687785989763611</v>
      </c>
      <c r="Y24" s="134">
        <f>W24/X24</f>
        <v>0.99861009098011821</v>
      </c>
      <c r="Z24" s="354">
        <f>SUM(I23:P23)</f>
        <v>0.2127638</v>
      </c>
      <c r="AA24" s="35">
        <f>Z24/H23</f>
        <v>0.86842367346938776</v>
      </c>
      <c r="AC24" s="45"/>
    </row>
    <row r="25" spans="1:29" ht="15.75">
      <c r="A25" s="326"/>
      <c r="B25" s="327"/>
      <c r="C25" s="377"/>
      <c r="D25" s="378"/>
      <c r="E25" s="355" t="s">
        <v>587</v>
      </c>
      <c r="F25" s="331"/>
      <c r="G25" s="356">
        <f>SUM(I26:L26)</f>
        <v>3.2000294117647057</v>
      </c>
      <c r="H25" s="332">
        <v>0.22</v>
      </c>
      <c r="I25" s="356">
        <v>4.0079999999999998E-2</v>
      </c>
      <c r="J25" s="331">
        <v>3.0400000000000002E-3</v>
      </c>
      <c r="K25" s="357">
        <v>2.1194499999999998E-2</v>
      </c>
      <c r="L25" s="352">
        <v>1.1155E-3</v>
      </c>
      <c r="M25" s="333"/>
      <c r="N25" s="357">
        <v>2.4400000000000002E-2</v>
      </c>
      <c r="O25" s="357">
        <v>2.4467399999999997E-2</v>
      </c>
      <c r="P25" s="351">
        <v>9.0240000000000001E-2</v>
      </c>
      <c r="Q25" s="351"/>
      <c r="R25" s="351"/>
      <c r="S25" s="351"/>
      <c r="T25" s="369"/>
      <c r="U25" s="335"/>
      <c r="V25" s="336"/>
      <c r="W25" s="156"/>
      <c r="X25" s="156"/>
      <c r="Y25" s="337"/>
    </row>
    <row r="26" spans="1:29" s="35" customFormat="1" ht="15.75">
      <c r="A26" s="346"/>
      <c r="B26" s="347"/>
      <c r="C26" s="94"/>
      <c r="D26" s="375"/>
      <c r="E26" s="349"/>
      <c r="F26" s="350"/>
      <c r="G26" s="331"/>
      <c r="H26" s="332"/>
      <c r="I26" s="351">
        <f>I25*1000/20.04</f>
        <v>2</v>
      </c>
      <c r="J26" s="351">
        <f>J25*1000/12.16</f>
        <v>0.25</v>
      </c>
      <c r="K26" s="351">
        <f>K25*1000/23</f>
        <v>0.92149999999999987</v>
      </c>
      <c r="L26" s="351">
        <f>L25*1000/39.1</f>
        <v>2.852941176470588E-2</v>
      </c>
      <c r="M26" s="91"/>
      <c r="N26" s="352">
        <f>N25*1000/61.01</f>
        <v>0.39993443697754472</v>
      </c>
      <c r="O26" s="352">
        <f>O25*1000/35.46</f>
        <v>0.69</v>
      </c>
      <c r="P26" s="351">
        <f>P25*1000/48.03</f>
        <v>1.8788257339163021</v>
      </c>
      <c r="Q26" s="351"/>
      <c r="R26" s="351"/>
      <c r="S26" s="351"/>
      <c r="T26" s="369"/>
      <c r="U26" s="335">
        <f>K26*10/((I26+J26)*10/2)^0.5</f>
        <v>2.7473821883547407</v>
      </c>
      <c r="V26" s="376" t="e">
        <f>S25/(Q25+R25+S25+T25)*100</f>
        <v>#DIV/0!</v>
      </c>
      <c r="W26" s="337">
        <f>SUM(I26:L26)</f>
        <v>3.2000294117647057</v>
      </c>
      <c r="X26" s="353">
        <f>SUM(N26:P26)</f>
        <v>2.9687601708938471</v>
      </c>
      <c r="Y26" s="431">
        <f>W26/X26</f>
        <v>1.0779009510900395</v>
      </c>
      <c r="Z26" s="354">
        <f>SUM(I25:P25)</f>
        <v>0.20453740000000001</v>
      </c>
      <c r="AA26" s="35">
        <f>Z26/H25</f>
        <v>0.92971545454545457</v>
      </c>
      <c r="AC26" s="45"/>
    </row>
    <row r="27" spans="1:29" ht="15.75">
      <c r="A27" s="326"/>
      <c r="B27" s="327"/>
      <c r="C27" s="377"/>
      <c r="D27" s="378"/>
      <c r="E27" s="355" t="s">
        <v>588</v>
      </c>
      <c r="F27" s="331"/>
      <c r="G27" s="356">
        <f>SUM(I28:L28)</f>
        <v>3.8516764705882354</v>
      </c>
      <c r="H27" s="332">
        <v>0.28499999999999998</v>
      </c>
      <c r="I27" s="351">
        <v>3.5069999999999997E-2</v>
      </c>
      <c r="J27" s="357">
        <v>1.4956800000000001E-2</v>
      </c>
      <c r="K27" s="357">
        <v>1.9446499999999999E-2</v>
      </c>
      <c r="L27" s="352">
        <v>1.0234999999999999E-3</v>
      </c>
      <c r="M27" s="333"/>
      <c r="N27" s="357">
        <v>2.4400000000000002E-2</v>
      </c>
      <c r="O27" s="357">
        <v>3.5105399999999995E-2</v>
      </c>
      <c r="P27" s="351">
        <v>0.11904000000000001</v>
      </c>
      <c r="Q27" s="351"/>
      <c r="R27" s="351"/>
      <c r="S27" s="351"/>
      <c r="T27" s="369"/>
      <c r="U27" s="335"/>
      <c r="V27" s="336"/>
      <c r="W27" s="156"/>
      <c r="X27" s="156"/>
      <c r="Y27" s="337"/>
    </row>
    <row r="28" spans="1:29" s="35" customFormat="1" ht="16.5" thickBot="1">
      <c r="A28" s="346"/>
      <c r="B28" s="347"/>
      <c r="C28" s="94"/>
      <c r="D28" s="375"/>
      <c r="E28" s="380"/>
      <c r="F28" s="381"/>
      <c r="G28" s="363"/>
      <c r="H28" s="358"/>
      <c r="I28" s="382">
        <f>I27*1000/20.04</f>
        <v>1.75</v>
      </c>
      <c r="J28" s="382">
        <f>J27*1000/12.16</f>
        <v>1.23</v>
      </c>
      <c r="K28" s="382">
        <f>K27*1000/23</f>
        <v>0.84549999999999981</v>
      </c>
      <c r="L28" s="382">
        <f>L27*1000/39.1</f>
        <v>2.6176470588235291E-2</v>
      </c>
      <c r="M28" s="383"/>
      <c r="N28" s="384">
        <f>N27*1000/61.01</f>
        <v>0.39993443697754472</v>
      </c>
      <c r="O28" s="384">
        <f>O27*1000/35.46</f>
        <v>0.98999999999999988</v>
      </c>
      <c r="P28" s="382">
        <f>P27*1000/48.03</f>
        <v>2.4784509681449096</v>
      </c>
      <c r="Q28" s="382"/>
      <c r="R28" s="382"/>
      <c r="S28" s="382"/>
      <c r="T28" s="382"/>
      <c r="U28" s="335">
        <f>K28*10/((I28+J28)*10/2)^0.5</f>
        <v>2.1903851060376747</v>
      </c>
      <c r="V28" s="385" t="e">
        <f>S27/(Q27+R27+S27+T27)*100</f>
        <v>#DIV/0!</v>
      </c>
      <c r="W28" s="337">
        <f>SUM(I28:L28)</f>
        <v>3.8516764705882354</v>
      </c>
      <c r="X28" s="353">
        <f>SUM(N28:P28)</f>
        <v>3.8683854051224542</v>
      </c>
      <c r="Y28" s="134">
        <f>W28/X28</f>
        <v>0.99568064378691612</v>
      </c>
      <c r="Z28" s="354">
        <f>SUM(I27:P27)</f>
        <v>0.24904219999999999</v>
      </c>
      <c r="AA28" s="35">
        <f>Z28/H27</f>
        <v>0.87383228070175445</v>
      </c>
      <c r="AC28" s="45"/>
    </row>
    <row r="29" spans="1:29" ht="15.75">
      <c r="A29" s="386"/>
      <c r="B29" s="386">
        <v>3</v>
      </c>
      <c r="C29" s="368">
        <v>1</v>
      </c>
      <c r="D29" s="314"/>
      <c r="E29" s="315" t="s">
        <v>37</v>
      </c>
      <c r="F29" s="316"/>
      <c r="G29" s="356">
        <f>SUM(I30:L30)</f>
        <v>3.3322941176470593</v>
      </c>
      <c r="H29" s="388">
        <v>0.24</v>
      </c>
      <c r="I29" s="322">
        <v>3.5069999999999997E-2</v>
      </c>
      <c r="J29" s="388">
        <v>8.9984000000000001E-3</v>
      </c>
      <c r="K29" s="387">
        <v>1.8790999999999999E-2</v>
      </c>
      <c r="L29" s="389">
        <v>9.8900000000000008E-4</v>
      </c>
      <c r="M29" s="320"/>
      <c r="N29" s="387">
        <v>2.4400000000000002E-2</v>
      </c>
      <c r="O29" s="387">
        <v>3.1559400000000001E-2</v>
      </c>
      <c r="P29" s="322">
        <v>9.888000000000001E-2</v>
      </c>
      <c r="Q29" s="323"/>
      <c r="R29" s="323"/>
      <c r="S29" s="323"/>
      <c r="T29" s="323"/>
      <c r="U29" s="324"/>
      <c r="V29" s="325"/>
      <c r="W29" s="156"/>
      <c r="X29" s="156"/>
      <c r="Y29" s="337"/>
      <c r="Z29" s="35"/>
      <c r="AA29" s="35"/>
    </row>
    <row r="30" spans="1:29" s="35" customFormat="1" ht="15.75">
      <c r="A30" s="346"/>
      <c r="B30" s="347"/>
      <c r="C30" s="94"/>
      <c r="D30" s="375"/>
      <c r="E30" s="349"/>
      <c r="F30" s="350"/>
      <c r="G30" s="281"/>
      <c r="H30" s="332"/>
      <c r="I30" s="351">
        <f>I29*1000/20.04</f>
        <v>1.75</v>
      </c>
      <c r="J30" s="351">
        <f>J29*1000/12.16</f>
        <v>0.74</v>
      </c>
      <c r="K30" s="351">
        <f>K29*1000/23</f>
        <v>0.81700000000000006</v>
      </c>
      <c r="L30" s="351">
        <f>L29*1000/39.1</f>
        <v>2.5294117647058825E-2</v>
      </c>
      <c r="M30" s="91"/>
      <c r="N30" s="352">
        <f>N29*1000/61.01</f>
        <v>0.39993443697754472</v>
      </c>
      <c r="O30" s="352">
        <f>O29*1000/35.46</f>
        <v>0.89</v>
      </c>
      <c r="P30" s="351">
        <f>P29*1000/48.03</f>
        <v>2.0587133041848844</v>
      </c>
      <c r="Q30" s="351"/>
      <c r="R30" s="351"/>
      <c r="S30" s="351"/>
      <c r="T30" s="351"/>
      <c r="U30" s="335">
        <f>K30*10/((I30+J30)*10/2)^0.5</f>
        <v>2.3154605221680793</v>
      </c>
      <c r="V30" s="336"/>
      <c r="W30" s="337">
        <f>SUM(I30:L30)</f>
        <v>3.3322941176470593</v>
      </c>
      <c r="X30" s="353">
        <f>SUM(N30:P30)</f>
        <v>3.3486477411624289</v>
      </c>
      <c r="Y30" s="134">
        <f>W30/X30</f>
        <v>0.99511635000769216</v>
      </c>
      <c r="Z30" s="354">
        <f>SUM(I29:P29)</f>
        <v>0.21868780000000002</v>
      </c>
      <c r="AA30" s="35">
        <f>Z30/H29</f>
        <v>0.91119916666666678</v>
      </c>
      <c r="AC30" s="45"/>
    </row>
    <row r="31" spans="1:29" ht="15.75">
      <c r="A31" s="326"/>
      <c r="B31" s="326"/>
      <c r="C31" s="377"/>
      <c r="D31" s="390"/>
      <c r="E31" s="340" t="s">
        <v>586</v>
      </c>
      <c r="F31" s="331"/>
      <c r="G31" s="356">
        <f>SUM(I32:L32)</f>
        <v>4.5072941176470591</v>
      </c>
      <c r="H31" s="379">
        <v>0.35499999999999998</v>
      </c>
      <c r="I31" s="356">
        <v>3.5069999999999997E-2</v>
      </c>
      <c r="J31" s="379">
        <v>3.0400000000000002E-3</v>
      </c>
      <c r="K31" s="357">
        <v>5.5936E-2</v>
      </c>
      <c r="L31" s="352">
        <v>2.9440000000000004E-3</v>
      </c>
      <c r="M31" s="333"/>
      <c r="N31" s="357">
        <v>2.6839999999999999E-2</v>
      </c>
      <c r="O31" s="357">
        <v>2.4467399999999997E-2</v>
      </c>
      <c r="P31" s="351">
        <v>0.16464000000000001</v>
      </c>
      <c r="Q31" s="332"/>
      <c r="R31" s="332"/>
      <c r="S31" s="332"/>
      <c r="T31" s="332"/>
      <c r="U31" s="335"/>
      <c r="V31" s="336"/>
      <c r="W31" s="156"/>
      <c r="X31" s="156"/>
      <c r="Y31" s="337"/>
      <c r="Z31" s="35"/>
      <c r="AA31" s="35"/>
    </row>
    <row r="32" spans="1:29" s="35" customFormat="1" ht="15.75">
      <c r="A32" s="346"/>
      <c r="B32" s="347"/>
      <c r="C32" s="94"/>
      <c r="D32" s="375"/>
      <c r="E32" s="349"/>
      <c r="F32" s="350"/>
      <c r="G32" s="350"/>
      <c r="H32" s="332"/>
      <c r="I32" s="351">
        <f>I31*1000/20.04</f>
        <v>1.75</v>
      </c>
      <c r="J32" s="351">
        <f>J31*1000/12.16</f>
        <v>0.25</v>
      </c>
      <c r="K32" s="351">
        <f>K31*1000/23</f>
        <v>2.4319999999999999</v>
      </c>
      <c r="L32" s="351">
        <f>L31*1000/39.1</f>
        <v>7.5294117647058831E-2</v>
      </c>
      <c r="M32" s="91"/>
      <c r="N32" s="352">
        <f>N31*1000/61.01</f>
        <v>0.43992788067529914</v>
      </c>
      <c r="O32" s="352">
        <f>O31*1000/35.46</f>
        <v>0.69</v>
      </c>
      <c r="P32" s="351">
        <f>P31*1000/48.03</f>
        <v>3.4278575890068708</v>
      </c>
      <c r="Q32" s="351"/>
      <c r="R32" s="351"/>
      <c r="S32" s="351"/>
      <c r="T32" s="351"/>
      <c r="U32" s="335">
        <f>K32*10/((I32+J32)*10/2)^0.5</f>
        <v>7.6906592695294984</v>
      </c>
      <c r="V32" s="336"/>
      <c r="W32" s="337">
        <f>SUM(I32:L32)</f>
        <v>4.5072941176470591</v>
      </c>
      <c r="X32" s="353">
        <f>SUM(N32:P32)</f>
        <v>4.5577854696821696</v>
      </c>
      <c r="Y32" s="134">
        <f>W32/X32</f>
        <v>0.98892195510934577</v>
      </c>
      <c r="Z32" s="354">
        <f>SUM(I31:P31)</f>
        <v>0.31293740000000003</v>
      </c>
      <c r="AA32" s="35">
        <f>Z32/H31</f>
        <v>0.8815138028169015</v>
      </c>
      <c r="AC32" s="45"/>
    </row>
    <row r="33" spans="1:29" ht="15.75">
      <c r="A33" s="326"/>
      <c r="B33" s="326"/>
      <c r="C33" s="377"/>
      <c r="D33" s="390"/>
      <c r="E33" s="340" t="s">
        <v>587</v>
      </c>
      <c r="F33" s="331"/>
      <c r="G33" s="356">
        <f>SUM(I34:L34)</f>
        <v>2.8809705882352943</v>
      </c>
      <c r="H33" s="379">
        <v>0.22500000000000001</v>
      </c>
      <c r="I33" s="356">
        <v>2.5049999999999999E-2</v>
      </c>
      <c r="J33" s="379">
        <v>3.0400000000000002E-3</v>
      </c>
      <c r="K33" s="357">
        <v>3.0808499999999999E-2</v>
      </c>
      <c r="L33" s="352">
        <v>1.6215000000000001E-3</v>
      </c>
      <c r="M33" s="333"/>
      <c r="N33" s="357">
        <v>2.6839999999999999E-2</v>
      </c>
      <c r="O33" s="357">
        <v>2.09214E-2</v>
      </c>
      <c r="P33" s="351">
        <v>9.0240000000000001E-2</v>
      </c>
      <c r="Q33" s="332"/>
      <c r="R33" s="332"/>
      <c r="S33" s="332"/>
      <c r="T33" s="332"/>
      <c r="U33" s="335"/>
      <c r="V33" s="336"/>
      <c r="W33" s="156"/>
      <c r="X33" s="156"/>
      <c r="Y33" s="337"/>
      <c r="Z33" s="35"/>
      <c r="AA33" s="35"/>
    </row>
    <row r="34" spans="1:29" s="35" customFormat="1" ht="15.75">
      <c r="A34" s="346"/>
      <c r="B34" s="347"/>
      <c r="C34" s="94"/>
      <c r="D34" s="375"/>
      <c r="E34" s="349"/>
      <c r="F34" s="350"/>
      <c r="G34" s="331"/>
      <c r="H34" s="332"/>
      <c r="I34" s="351">
        <f>I33*1000/20.04</f>
        <v>1.25</v>
      </c>
      <c r="J34" s="351">
        <f>J33*1000/12.16</f>
        <v>0.25</v>
      </c>
      <c r="K34" s="351">
        <f>K33*1000/23</f>
        <v>1.3394999999999999</v>
      </c>
      <c r="L34" s="351">
        <f>L33*1000/39.1</f>
        <v>4.147058823529412E-2</v>
      </c>
      <c r="M34" s="91"/>
      <c r="N34" s="352">
        <f>N33*1000/61.01</f>
        <v>0.43992788067529914</v>
      </c>
      <c r="O34" s="352">
        <f>O33*1000/35.46</f>
        <v>0.59</v>
      </c>
      <c r="P34" s="351">
        <f>P33*1000/48.03</f>
        <v>1.8788257339163021</v>
      </c>
      <c r="Q34" s="351"/>
      <c r="R34" s="351"/>
      <c r="S34" s="351"/>
      <c r="T34" s="351"/>
      <c r="U34" s="335">
        <f>K34*10/((I34+J34)*10/2)^0.5</f>
        <v>4.8911624385211327</v>
      </c>
      <c r="V34" s="336"/>
      <c r="W34" s="337">
        <f>SUM(I34:L34)</f>
        <v>2.8809705882352943</v>
      </c>
      <c r="X34" s="353">
        <f>SUM(N34:P34)</f>
        <v>2.9087536145916015</v>
      </c>
      <c r="Y34" s="134">
        <f>W34/X34</f>
        <v>0.99044847723886431</v>
      </c>
      <c r="Z34" s="354">
        <f>SUM(I33:P33)</f>
        <v>0.19852140000000001</v>
      </c>
      <c r="AA34" s="35">
        <f>Z34/H33</f>
        <v>0.8823173333333334</v>
      </c>
      <c r="AC34" s="45"/>
    </row>
    <row r="35" spans="1:29" ht="15.75">
      <c r="A35" s="326"/>
      <c r="B35" s="326"/>
      <c r="C35" s="377"/>
      <c r="D35" s="390"/>
      <c r="E35" s="355" t="s">
        <v>121</v>
      </c>
      <c r="F35" s="331"/>
      <c r="G35" s="356">
        <f>SUM(I36:L36)</f>
        <v>4.0568529411764702</v>
      </c>
      <c r="H35" s="379">
        <v>0.31</v>
      </c>
      <c r="I35" s="351">
        <v>2.5049999999999999E-2</v>
      </c>
      <c r="J35" s="379">
        <v>1.4956800000000001E-2</v>
      </c>
      <c r="K35" s="357">
        <v>3.5178500000000001E-2</v>
      </c>
      <c r="L35" s="352">
        <v>1.8515000000000001E-3</v>
      </c>
      <c r="M35" s="333"/>
      <c r="N35" s="357">
        <v>2.4400000000000002E-2</v>
      </c>
      <c r="O35" s="357">
        <v>2.4467399999999997E-2</v>
      </c>
      <c r="P35" s="351">
        <v>0.14400000000000002</v>
      </c>
      <c r="Q35" s="332"/>
      <c r="R35" s="332"/>
      <c r="S35" s="332"/>
      <c r="T35" s="332"/>
      <c r="U35" s="335"/>
      <c r="V35" s="336"/>
      <c r="W35" s="156"/>
      <c r="X35" s="156"/>
      <c r="Y35" s="337"/>
    </row>
    <row r="36" spans="1:29" s="35" customFormat="1" ht="16.5" thickBot="1">
      <c r="A36" s="391"/>
      <c r="B36" s="392"/>
      <c r="C36" s="132"/>
      <c r="D36" s="393"/>
      <c r="E36" s="394"/>
      <c r="F36" s="381"/>
      <c r="G36" s="363"/>
      <c r="H36" s="364"/>
      <c r="I36" s="395">
        <f>I35*1000/20.04</f>
        <v>1.25</v>
      </c>
      <c r="J36" s="395">
        <f>J35*1000/12.16</f>
        <v>1.23</v>
      </c>
      <c r="K36" s="395">
        <f>K35*1000/23</f>
        <v>1.5295000000000001</v>
      </c>
      <c r="L36" s="395">
        <f>L35*1000/39.1</f>
        <v>4.7352941176470591E-2</v>
      </c>
      <c r="M36" s="396"/>
      <c r="N36" s="397">
        <f>N35*1000/61.01</f>
        <v>0.39993443697754472</v>
      </c>
      <c r="O36" s="397">
        <f>O35*1000/35.46</f>
        <v>0.69</v>
      </c>
      <c r="P36" s="395">
        <f>P35*1000/48.03</f>
        <v>2.9981261711430363</v>
      </c>
      <c r="Q36" s="395"/>
      <c r="R36" s="395"/>
      <c r="S36" s="395"/>
      <c r="T36" s="395"/>
      <c r="U36" s="335">
        <f>K36*10/((I36+J36)*10/2)^0.5</f>
        <v>4.343488127404429</v>
      </c>
      <c r="V36" s="367"/>
      <c r="W36" s="337">
        <f>SUM(I36:L36)</f>
        <v>4.0568529411764702</v>
      </c>
      <c r="X36" s="353">
        <f>SUM(N36:P36)</f>
        <v>4.088060608120581</v>
      </c>
      <c r="Y36" s="134">
        <f>W36/X36</f>
        <v>0.99236614376946386</v>
      </c>
      <c r="Z36" s="354">
        <f>SUM(I35:P35)</f>
        <v>0.26990420000000004</v>
      </c>
      <c r="AA36" s="35">
        <f>Z36/H35</f>
        <v>0.87065870967741954</v>
      </c>
      <c r="AC36" s="45"/>
    </row>
    <row r="37" spans="1:29" ht="15.75">
      <c r="A37" s="398"/>
      <c r="B37" s="326">
        <v>4</v>
      </c>
      <c r="C37" s="377">
        <v>1</v>
      </c>
      <c r="D37" s="314"/>
      <c r="E37" s="355" t="s">
        <v>37</v>
      </c>
      <c r="F37" s="342"/>
      <c r="G37" s="356">
        <f>SUM(I38:L38)</f>
        <v>4.0278823529411767</v>
      </c>
      <c r="H37" s="343">
        <v>0.29499999999999998</v>
      </c>
      <c r="I37" s="369">
        <v>4.5089999999999998E-2</v>
      </c>
      <c r="J37" s="370">
        <v>3.0400000000000002E-3</v>
      </c>
      <c r="K37" s="370">
        <v>3.4085999999999998E-2</v>
      </c>
      <c r="L37" s="371">
        <v>1.7940000000000002E-3</v>
      </c>
      <c r="M37" s="372"/>
      <c r="N37" s="370">
        <v>2.6839999999999999E-2</v>
      </c>
      <c r="O37" s="370">
        <v>2.09214E-2</v>
      </c>
      <c r="P37" s="369">
        <v>0.13344</v>
      </c>
      <c r="Q37" s="369"/>
      <c r="R37" s="369"/>
      <c r="S37" s="369"/>
      <c r="T37" s="369"/>
      <c r="U37" s="324"/>
      <c r="V37" s="374"/>
      <c r="W37" s="156"/>
      <c r="X37" s="156"/>
      <c r="Y37" s="337"/>
    </row>
    <row r="38" spans="1:29" s="35" customFormat="1" ht="15.75">
      <c r="A38" s="346"/>
      <c r="B38" s="347"/>
      <c r="C38" s="94"/>
      <c r="D38" s="375"/>
      <c r="E38" s="349"/>
      <c r="F38" s="350"/>
      <c r="G38" s="281"/>
      <c r="H38" s="332"/>
      <c r="I38" s="351">
        <f>I37*1000/20.04</f>
        <v>2.25</v>
      </c>
      <c r="J38" s="351">
        <f>J37*1000/12.16</f>
        <v>0.25</v>
      </c>
      <c r="K38" s="351">
        <f>K37*1000/23</f>
        <v>1.482</v>
      </c>
      <c r="L38" s="351">
        <f>L37*1000/39.1</f>
        <v>4.5882352941176478E-2</v>
      </c>
      <c r="M38" s="91"/>
      <c r="N38" s="352">
        <f>N37*1000/61.01</f>
        <v>0.43992788067529914</v>
      </c>
      <c r="O38" s="352">
        <f>O37*1000/35.46</f>
        <v>0.59</v>
      </c>
      <c r="P38" s="351">
        <f>P37*1000/48.03</f>
        <v>2.778263585259213</v>
      </c>
      <c r="Q38" s="351"/>
      <c r="R38" s="351"/>
      <c r="S38" s="351"/>
      <c r="T38" s="369"/>
      <c r="U38" s="335">
        <f>K38*10/((I38+J38)*10/2)^0.5</f>
        <v>4.1917289988738533</v>
      </c>
      <c r="V38" s="376" t="e">
        <f>S37/(Q37+R37+S37+T37)*100</f>
        <v>#DIV/0!</v>
      </c>
      <c r="W38" s="337">
        <f>SUM(I38:L38)</f>
        <v>4.0278823529411767</v>
      </c>
      <c r="X38" s="353">
        <f>SUM(N38:P38)</f>
        <v>3.8081914659345122</v>
      </c>
      <c r="Y38" s="431">
        <f>W38/X38</f>
        <v>1.0576890340130924</v>
      </c>
      <c r="Z38" s="354">
        <f>SUM(I37:P37)</f>
        <v>0.26521139999999999</v>
      </c>
      <c r="AA38" s="35">
        <f>Z38/H37</f>
        <v>0.89902169491525419</v>
      </c>
      <c r="AC38" s="45"/>
    </row>
    <row r="39" spans="1:29" ht="15.75">
      <c r="A39" s="326"/>
      <c r="B39" s="326"/>
      <c r="C39" s="377"/>
      <c r="D39" s="390"/>
      <c r="E39" s="340" t="s">
        <v>586</v>
      </c>
      <c r="F39" s="331"/>
      <c r="G39" s="356">
        <f>SUM(I40:L40)</f>
        <v>3.5186764705882352</v>
      </c>
      <c r="H39" s="379">
        <v>0.27</v>
      </c>
      <c r="I39" s="356">
        <v>3.5069999999999997E-2</v>
      </c>
      <c r="J39" s="331">
        <v>1.4956800000000001E-2</v>
      </c>
      <c r="K39" s="379">
        <v>1.20175E-2</v>
      </c>
      <c r="L39" s="334">
        <v>6.3250000000000014E-4</v>
      </c>
      <c r="M39" s="333"/>
      <c r="N39" s="379">
        <v>2.6839999999999999E-2</v>
      </c>
      <c r="O39" s="379">
        <v>1.7375399999999999E-2</v>
      </c>
      <c r="P39" s="332">
        <v>0.12480000000000001</v>
      </c>
      <c r="Q39" s="332"/>
      <c r="R39" s="332"/>
      <c r="S39" s="332"/>
      <c r="T39" s="345"/>
      <c r="U39" s="335"/>
      <c r="V39" s="336"/>
      <c r="W39" s="156"/>
      <c r="X39" s="156"/>
      <c r="Y39" s="337"/>
    </row>
    <row r="40" spans="1:29" s="35" customFormat="1" ht="15.75">
      <c r="A40" s="346"/>
      <c r="B40" s="347"/>
      <c r="C40" s="94"/>
      <c r="D40" s="375"/>
      <c r="E40" s="349"/>
      <c r="F40" s="350"/>
      <c r="G40" s="350"/>
      <c r="H40" s="332"/>
      <c r="I40" s="351">
        <f>I39*1000/20.04</f>
        <v>1.75</v>
      </c>
      <c r="J40" s="351">
        <f>J39*1000/12.16</f>
        <v>1.23</v>
      </c>
      <c r="K40" s="351">
        <f>K39*1000/23</f>
        <v>0.52249999999999996</v>
      </c>
      <c r="L40" s="351">
        <f>L39*1000/39.1</f>
        <v>1.6176470588235299E-2</v>
      </c>
      <c r="M40" s="91"/>
      <c r="N40" s="352">
        <f>N39*1000/61.01</f>
        <v>0.43992788067529914</v>
      </c>
      <c r="O40" s="352">
        <f>O39*1000/35.46</f>
        <v>0.48999999999999994</v>
      </c>
      <c r="P40" s="351">
        <f>P39*1000/48.03</f>
        <v>2.598376014990631</v>
      </c>
      <c r="Q40" s="351"/>
      <c r="R40" s="351"/>
      <c r="S40" s="351"/>
      <c r="T40" s="345"/>
      <c r="U40" s="335">
        <f>K40*10/((I40+J40)*10/2)^0.5</f>
        <v>1.3536087733940689</v>
      </c>
      <c r="V40" s="376" t="e">
        <f>S39/(Q39+R39+S39+T39)*100</f>
        <v>#DIV/0!</v>
      </c>
      <c r="W40" s="337">
        <f>SUM(I40:L40)</f>
        <v>3.5186764705882352</v>
      </c>
      <c r="X40" s="353">
        <f>SUM(N40:P40)</f>
        <v>3.5283038956659301</v>
      </c>
      <c r="Y40" s="134">
        <f>W40/X40</f>
        <v>0.99727137305561431</v>
      </c>
      <c r="Z40" s="354">
        <f>SUM(I39:P39)</f>
        <v>0.23169220000000001</v>
      </c>
      <c r="AA40" s="35">
        <f>Z40/H39</f>
        <v>0.85811925925925925</v>
      </c>
      <c r="AC40" s="45"/>
    </row>
    <row r="41" spans="1:29" ht="15.75">
      <c r="A41" s="326"/>
      <c r="B41" s="326"/>
      <c r="C41" s="377"/>
      <c r="D41" s="399"/>
      <c r="E41" s="340" t="s">
        <v>587</v>
      </c>
      <c r="F41" s="331"/>
      <c r="G41" s="356">
        <f>SUM(I42:L42)</f>
        <v>2.6312647058823528</v>
      </c>
      <c r="H41" s="379">
        <v>0.19500000000000001</v>
      </c>
      <c r="I41" s="356">
        <v>2.0039999999999999E-2</v>
      </c>
      <c r="J41" s="331">
        <v>8.9984000000000001E-3</v>
      </c>
      <c r="K41" s="379">
        <v>1.9883499999999998E-2</v>
      </c>
      <c r="L41" s="334">
        <v>1.0465000000000001E-3</v>
      </c>
      <c r="M41" s="333"/>
      <c r="N41" s="379">
        <v>2.4400000000000002E-2</v>
      </c>
      <c r="O41" s="379">
        <v>1.7375399999999999E-2</v>
      </c>
      <c r="P41" s="332">
        <v>8.448E-2</v>
      </c>
      <c r="Q41" s="332"/>
      <c r="R41" s="332"/>
      <c r="S41" s="332"/>
      <c r="T41" s="345"/>
      <c r="U41" s="335"/>
      <c r="V41" s="336"/>
      <c r="W41" s="156"/>
      <c r="X41" s="156"/>
      <c r="Y41" s="337"/>
      <c r="Z41" s="35"/>
      <c r="AA41" s="35"/>
    </row>
    <row r="42" spans="1:29" s="35" customFormat="1" ht="15.75">
      <c r="A42" s="346"/>
      <c r="B42" s="347"/>
      <c r="C42" s="94"/>
      <c r="D42" s="375"/>
      <c r="E42" s="349"/>
      <c r="F42" s="350"/>
      <c r="G42" s="331"/>
      <c r="H42" s="332"/>
      <c r="I42" s="351">
        <f>I41*1000/20.04</f>
        <v>1</v>
      </c>
      <c r="J42" s="351">
        <f>J41*1000/12.16</f>
        <v>0.74</v>
      </c>
      <c r="K42" s="351">
        <f>K41*1000/23</f>
        <v>0.86449999999999994</v>
      </c>
      <c r="L42" s="351">
        <f>L41*1000/39.1</f>
        <v>2.6764705882352944E-2</v>
      </c>
      <c r="M42" s="91"/>
      <c r="N42" s="352">
        <f>N41*1000/61.01</f>
        <v>0.39993443697754472</v>
      </c>
      <c r="O42" s="352">
        <f>O41*1000/35.46</f>
        <v>0.48999999999999994</v>
      </c>
      <c r="P42" s="351">
        <f>P41*1000/48.03</f>
        <v>1.758900687070581</v>
      </c>
      <c r="Q42" s="351"/>
      <c r="R42" s="351"/>
      <c r="S42" s="351"/>
      <c r="T42" s="345"/>
      <c r="U42" s="335">
        <f>K42*10/((I42+J42)*10/2)^0.5</f>
        <v>2.930929494400953</v>
      </c>
      <c r="V42" s="376" t="e">
        <f>S41/(Q41+R41+S41+T41)*100</f>
        <v>#DIV/0!</v>
      </c>
      <c r="W42" s="337">
        <f>SUM(I42:L42)</f>
        <v>2.6312647058823528</v>
      </c>
      <c r="X42" s="353">
        <f>SUM(N42:P42)</f>
        <v>2.6488351240481256</v>
      </c>
      <c r="Y42" s="134">
        <f>W42/X42</f>
        <v>0.99336673770056305</v>
      </c>
      <c r="Z42" s="354">
        <f>SUM(I41:P41)</f>
        <v>0.17622379999999999</v>
      </c>
      <c r="AA42" s="35">
        <f>Z42/H41</f>
        <v>0.90371179487179476</v>
      </c>
      <c r="AC42" s="45"/>
    </row>
    <row r="43" spans="1:29" ht="15.75">
      <c r="A43" s="326"/>
      <c r="B43" s="326"/>
      <c r="C43" s="377"/>
      <c r="D43" s="390"/>
      <c r="E43" s="340" t="s">
        <v>121</v>
      </c>
      <c r="F43" s="331"/>
      <c r="G43" s="356">
        <f>SUM(I44:L44)</f>
        <v>3.5864411764705881</v>
      </c>
      <c r="H43" s="379">
        <v>0.27</v>
      </c>
      <c r="I43" s="351">
        <v>3.0059999999999996E-2</v>
      </c>
      <c r="J43" s="357">
        <v>5.9584E-3</v>
      </c>
      <c r="K43" s="357">
        <v>3.5615499999999994E-2</v>
      </c>
      <c r="L43" s="352">
        <v>1.8744999999999999E-3</v>
      </c>
      <c r="M43" s="333"/>
      <c r="N43" s="357">
        <v>2.4400000000000002E-2</v>
      </c>
      <c r="O43" s="357">
        <v>2.4467399999999997E-2</v>
      </c>
      <c r="P43" s="351">
        <v>0.12143999999999999</v>
      </c>
      <c r="Q43" s="351"/>
      <c r="R43" s="351"/>
      <c r="S43" s="351"/>
      <c r="T43" s="369"/>
      <c r="U43" s="335"/>
      <c r="V43" s="336"/>
      <c r="W43" s="156"/>
      <c r="X43" s="156"/>
      <c r="Y43" s="337"/>
      <c r="Z43" s="35"/>
      <c r="AA43" s="35"/>
    </row>
    <row r="44" spans="1:29" s="35" customFormat="1" ht="16.5" thickBot="1">
      <c r="A44" s="346"/>
      <c r="B44" s="347"/>
      <c r="C44" s="94"/>
      <c r="D44" s="375"/>
      <c r="E44" s="380"/>
      <c r="F44" s="400"/>
      <c r="G44" s="363"/>
      <c r="H44" s="433"/>
      <c r="I44" s="401">
        <f>I43*1000/20.04</f>
        <v>1.4999999999999998</v>
      </c>
      <c r="J44" s="401">
        <f>J43*1000/12.16</f>
        <v>0.49</v>
      </c>
      <c r="K44" s="401">
        <f>K43*1000/23</f>
        <v>1.5485</v>
      </c>
      <c r="L44" s="401">
        <f>L43*1000/39.1</f>
        <v>4.794117647058823E-2</v>
      </c>
      <c r="M44" s="402"/>
      <c r="N44" s="403">
        <f>N43*1000/61.01</f>
        <v>0.39993443697754472</v>
      </c>
      <c r="O44" s="403">
        <f>O43*1000/35.46</f>
        <v>0.69</v>
      </c>
      <c r="P44" s="401">
        <f>P43*1000/48.03</f>
        <v>2.5284197376639601</v>
      </c>
      <c r="Q44" s="382"/>
      <c r="R44" s="382"/>
      <c r="S44" s="382"/>
      <c r="T44" s="382"/>
      <c r="U44" s="335">
        <f>K44*10/((I44+J44)*10/2)^0.5</f>
        <v>4.9090750236617593</v>
      </c>
      <c r="V44" s="385" t="e">
        <f>S43/(Q43+R43+S43+T43)*100</f>
        <v>#DIV/0!</v>
      </c>
      <c r="W44" s="337">
        <f>SUM(I44:L44)</f>
        <v>3.5864411764705881</v>
      </c>
      <c r="X44" s="353">
        <f>SUM(N44:P44)</f>
        <v>3.6183541746415049</v>
      </c>
      <c r="Y44" s="134">
        <f>W44/X44</f>
        <v>0.99118024476581856</v>
      </c>
      <c r="Z44" s="354">
        <f>SUM(I43:P43)</f>
        <v>0.2438158</v>
      </c>
      <c r="AA44" s="35">
        <f>Z44/H43</f>
        <v>0.90302148148148143</v>
      </c>
      <c r="AC44" s="45"/>
    </row>
    <row r="45" spans="1:29" ht="15.75">
      <c r="A45" s="386"/>
      <c r="B45" s="386">
        <v>5</v>
      </c>
      <c r="C45" s="368">
        <v>1</v>
      </c>
      <c r="D45" s="314"/>
      <c r="E45" s="315" t="s">
        <v>37</v>
      </c>
      <c r="F45" s="316"/>
      <c r="G45" s="356">
        <f>SUM(I46:L46)</f>
        <v>6.204147058823529</v>
      </c>
      <c r="H45" s="323">
        <v>0.495</v>
      </c>
      <c r="I45" s="322">
        <v>3.0059999999999996E-2</v>
      </c>
      <c r="J45" s="387">
        <v>4.8032000000000005E-2</v>
      </c>
      <c r="K45" s="387">
        <v>1.6824499999999999E-2</v>
      </c>
      <c r="L45" s="389">
        <v>8.855E-4</v>
      </c>
      <c r="M45" s="320"/>
      <c r="N45" s="387">
        <v>1.83E-2</v>
      </c>
      <c r="O45" s="387">
        <v>2.4467399999999997E-2</v>
      </c>
      <c r="P45" s="322">
        <v>0.25104000000000004</v>
      </c>
      <c r="Q45" s="323"/>
      <c r="R45" s="323"/>
      <c r="S45" s="323"/>
      <c r="T45" s="323"/>
      <c r="U45" s="324"/>
      <c r="V45" s="325"/>
      <c r="W45" s="156"/>
      <c r="X45" s="156"/>
      <c r="Y45" s="337"/>
      <c r="Z45" s="35"/>
      <c r="AA45" s="35"/>
    </row>
    <row r="46" spans="1:29" s="35" customFormat="1" ht="15.75">
      <c r="A46" s="346"/>
      <c r="B46" s="347"/>
      <c r="C46" s="94"/>
      <c r="D46" s="375"/>
      <c r="E46" s="349"/>
      <c r="F46" s="350"/>
      <c r="G46" s="281"/>
      <c r="H46" s="332"/>
      <c r="I46" s="351">
        <f>I45*1000/20.04</f>
        <v>1.4999999999999998</v>
      </c>
      <c r="J46" s="351">
        <f>J45*1000/12.16</f>
        <v>3.95</v>
      </c>
      <c r="K46" s="351">
        <f>K45*1000/23</f>
        <v>0.73150000000000004</v>
      </c>
      <c r="L46" s="351">
        <f>L45*1000/39.1</f>
        <v>2.2647058823529409E-2</v>
      </c>
      <c r="M46" s="91"/>
      <c r="N46" s="352">
        <f>N45*1000/61.01</f>
        <v>0.29995082773315851</v>
      </c>
      <c r="O46" s="352">
        <f>O45*1000/35.46</f>
        <v>0.69</v>
      </c>
      <c r="P46" s="351">
        <f>P45*1000/48.03</f>
        <v>5.2267332916926925</v>
      </c>
      <c r="Q46" s="351"/>
      <c r="R46" s="351"/>
      <c r="S46" s="351"/>
      <c r="T46" s="351"/>
      <c r="U46" s="335">
        <f>K46*10/((I46+J46)*10/2)^0.5</f>
        <v>1.4012998552785445</v>
      </c>
      <c r="V46" s="336"/>
      <c r="W46" s="337">
        <f>SUM(I46:L46)</f>
        <v>6.204147058823529</v>
      </c>
      <c r="X46" s="353">
        <f>SUM(N46:P46)</f>
        <v>6.2166841194258513</v>
      </c>
      <c r="Y46" s="134">
        <f>W46/X46</f>
        <v>0.99798332031007553</v>
      </c>
      <c r="Z46" s="354">
        <f>SUM(I45:P45)</f>
        <v>0.38960939999999999</v>
      </c>
      <c r="AA46" s="265">
        <f>Z46/H45</f>
        <v>0.78708969696969699</v>
      </c>
      <c r="AC46" s="45"/>
    </row>
    <row r="47" spans="1:29" ht="15.75">
      <c r="A47" s="326"/>
      <c r="B47" s="326"/>
      <c r="C47" s="377"/>
      <c r="D47" s="390"/>
      <c r="E47" s="340" t="s">
        <v>586</v>
      </c>
      <c r="F47" s="331"/>
      <c r="G47" s="356">
        <f>SUM(I48:L48)</f>
        <v>5.1111764705882345</v>
      </c>
      <c r="H47" s="332">
        <v>0.41</v>
      </c>
      <c r="I47" s="356">
        <v>6.0119999999999993E-2</v>
      </c>
      <c r="J47" s="331">
        <v>8.9984000000000001E-3</v>
      </c>
      <c r="K47" s="357">
        <v>3.0589999999999999E-2</v>
      </c>
      <c r="L47" s="352">
        <v>1.6100000000000001E-3</v>
      </c>
      <c r="M47" s="333"/>
      <c r="N47" s="357">
        <v>2.4400000000000002E-2</v>
      </c>
      <c r="O47" s="357">
        <v>2.09214E-2</v>
      </c>
      <c r="P47" s="351">
        <v>0.19920000000000002</v>
      </c>
      <c r="Q47" s="332"/>
      <c r="R47" s="332"/>
      <c r="S47" s="332"/>
      <c r="T47" s="332"/>
      <c r="U47" s="335"/>
      <c r="V47" s="336"/>
      <c r="W47" s="156"/>
      <c r="X47" s="156"/>
      <c r="Y47" s="337"/>
    </row>
    <row r="48" spans="1:29" s="35" customFormat="1" ht="15.75">
      <c r="A48" s="346"/>
      <c r="B48" s="347"/>
      <c r="C48" s="94"/>
      <c r="D48" s="375"/>
      <c r="E48" s="349"/>
      <c r="F48" s="350"/>
      <c r="G48" s="350"/>
      <c r="H48" s="332"/>
      <c r="I48" s="351">
        <f>I47*1000/20.04</f>
        <v>2.9999999999999996</v>
      </c>
      <c r="J48" s="351">
        <f>J47*1000/12.16</f>
        <v>0.74</v>
      </c>
      <c r="K48" s="351">
        <f>K47*1000/23</f>
        <v>1.33</v>
      </c>
      <c r="L48" s="351">
        <f>L47*1000/39.1</f>
        <v>4.1176470588235294E-2</v>
      </c>
      <c r="M48" s="91"/>
      <c r="N48" s="352">
        <f>N47*1000/61.01</f>
        <v>0.39993443697754472</v>
      </c>
      <c r="O48" s="352">
        <f>O47*1000/35.46</f>
        <v>0.59</v>
      </c>
      <c r="P48" s="351">
        <f>P47*1000/48.03</f>
        <v>4.1474078700811994</v>
      </c>
      <c r="Q48" s="351"/>
      <c r="R48" s="351"/>
      <c r="S48" s="351"/>
      <c r="T48" s="351"/>
      <c r="U48" s="335">
        <f>K48*10/((I48+J48)*10/2)^0.5</f>
        <v>3.0756069789181546</v>
      </c>
      <c r="V48" s="336"/>
      <c r="W48" s="337">
        <f>SUM(I48:L48)</f>
        <v>5.1111764705882345</v>
      </c>
      <c r="X48" s="353">
        <f>SUM(N48:P48)</f>
        <v>5.1373423070587441</v>
      </c>
      <c r="Y48" s="134">
        <f>W48/X48</f>
        <v>0.99490673680931141</v>
      </c>
      <c r="Z48" s="354">
        <f>SUM(I47:P47)</f>
        <v>0.34583980000000003</v>
      </c>
      <c r="AA48" s="35">
        <f>Z48/H47</f>
        <v>0.84351170731707326</v>
      </c>
      <c r="AC48" s="45"/>
    </row>
    <row r="49" spans="1:29" ht="15.75">
      <c r="A49" s="326"/>
      <c r="B49" s="326"/>
      <c r="C49" s="377"/>
      <c r="D49" s="390"/>
      <c r="E49" s="355" t="s">
        <v>120</v>
      </c>
      <c r="F49" s="331"/>
      <c r="G49" s="356">
        <f>SUM(I50:L50)</f>
        <v>5.1875294117647055</v>
      </c>
      <c r="H49" s="332">
        <v>0.42499999999999999</v>
      </c>
      <c r="I49" s="356">
        <v>2.0039999999999999E-2</v>
      </c>
      <c r="J49" s="331">
        <v>8.9984000000000001E-3</v>
      </c>
      <c r="K49" s="357">
        <v>7.6911999999999994E-2</v>
      </c>
      <c r="L49" s="352">
        <v>4.0480000000000004E-3</v>
      </c>
      <c r="M49" s="333"/>
      <c r="N49" s="357">
        <v>2.4400000000000002E-2</v>
      </c>
      <c r="O49" s="357">
        <v>2.8013400000000001E-2</v>
      </c>
      <c r="P49" s="351">
        <v>0.19536000000000001</v>
      </c>
      <c r="Q49" s="332"/>
      <c r="R49" s="332"/>
      <c r="S49" s="332"/>
      <c r="T49" s="332"/>
      <c r="U49" s="335"/>
      <c r="V49" s="336"/>
      <c r="W49" s="156"/>
      <c r="X49" s="156"/>
      <c r="Y49" s="337"/>
    </row>
    <row r="50" spans="1:29" s="35" customFormat="1" ht="15.75">
      <c r="A50" s="346"/>
      <c r="B50" s="347"/>
      <c r="C50" s="94"/>
      <c r="D50" s="375"/>
      <c r="E50" s="349"/>
      <c r="F50" s="350"/>
      <c r="G50" s="331"/>
      <c r="H50" s="332"/>
      <c r="I50" s="351">
        <f>I49*1000/20.04</f>
        <v>1</v>
      </c>
      <c r="J50" s="351">
        <f>J49*1000/12.16</f>
        <v>0.74</v>
      </c>
      <c r="K50" s="351">
        <f>K49*1000/23</f>
        <v>3.3439999999999999</v>
      </c>
      <c r="L50" s="351">
        <f>L49*1000/39.1</f>
        <v>0.10352941176470588</v>
      </c>
      <c r="M50" s="91"/>
      <c r="N50" s="352">
        <f>N49*1000/61.01</f>
        <v>0.39993443697754472</v>
      </c>
      <c r="O50" s="352">
        <f>O49*1000/35.46</f>
        <v>0.79</v>
      </c>
      <c r="P50" s="351">
        <f>P49*1000/48.03</f>
        <v>4.0674578388507188</v>
      </c>
      <c r="Q50" s="351"/>
      <c r="R50" s="351"/>
      <c r="S50" s="351"/>
      <c r="T50" s="351"/>
      <c r="U50" s="335">
        <f>K50*10/((I50+J50)*10/2)^0.5</f>
        <v>11.33722178053995</v>
      </c>
      <c r="V50" s="336"/>
      <c r="W50" s="337">
        <f>SUM(I50:L50)</f>
        <v>5.1875294117647055</v>
      </c>
      <c r="X50" s="353">
        <f>SUM(N50:P50)</f>
        <v>5.2573922758282636</v>
      </c>
      <c r="Y50" s="134">
        <f>W50/X50</f>
        <v>0.98671149870540109</v>
      </c>
      <c r="Z50" s="354">
        <f>SUM(I49:P49)</f>
        <v>0.35777179999999997</v>
      </c>
      <c r="AA50" s="35">
        <f>Z50/H49</f>
        <v>0.84181600000000001</v>
      </c>
      <c r="AC50" s="45"/>
    </row>
    <row r="51" spans="1:29" ht="15.75">
      <c r="A51" s="326"/>
      <c r="B51" s="326"/>
      <c r="C51" s="377"/>
      <c r="D51" s="390"/>
      <c r="E51" s="340" t="s">
        <v>121</v>
      </c>
      <c r="F51" s="331"/>
      <c r="G51" s="356">
        <f>SUM(I52:L52)</f>
        <v>4.1344117647058818</v>
      </c>
      <c r="H51" s="332">
        <v>0.32</v>
      </c>
      <c r="I51" s="351">
        <v>2.0039999999999999E-2</v>
      </c>
      <c r="J51" s="357">
        <v>5.9584E-3</v>
      </c>
      <c r="K51" s="357">
        <v>5.8994999999999999E-2</v>
      </c>
      <c r="L51" s="352">
        <v>3.1050000000000001E-3</v>
      </c>
      <c r="M51" s="333"/>
      <c r="N51" s="357">
        <v>2.4400000000000002E-2</v>
      </c>
      <c r="O51" s="357">
        <v>2.8013400000000001E-2</v>
      </c>
      <c r="P51" s="351">
        <v>0.14400000000000002</v>
      </c>
      <c r="Q51" s="332"/>
      <c r="R51" s="332"/>
      <c r="S51" s="332"/>
      <c r="T51" s="332"/>
      <c r="U51" s="335"/>
      <c r="V51" s="336"/>
      <c r="W51" s="156"/>
      <c r="X51" s="156"/>
      <c r="Y51" s="337"/>
    </row>
    <row r="52" spans="1:29" s="35" customFormat="1" ht="16.5" thickBot="1">
      <c r="A52" s="391"/>
      <c r="B52" s="392"/>
      <c r="C52" s="132"/>
      <c r="D52" s="393"/>
      <c r="E52" s="394"/>
      <c r="F52" s="381"/>
      <c r="G52" s="363"/>
      <c r="H52" s="364"/>
      <c r="I52" s="395">
        <f>I51*1000/20.04</f>
        <v>1</v>
      </c>
      <c r="J52" s="395">
        <f>J51*1000/12.16</f>
        <v>0.49</v>
      </c>
      <c r="K52" s="395">
        <f>K51*1000/23</f>
        <v>2.5649999999999999</v>
      </c>
      <c r="L52" s="395">
        <f>L51*1000/39.1</f>
        <v>7.9411764705882348E-2</v>
      </c>
      <c r="M52" s="396"/>
      <c r="N52" s="397">
        <f>N51*1000/61.01</f>
        <v>0.39993443697754472</v>
      </c>
      <c r="O52" s="397">
        <f>O51*1000/35.46</f>
        <v>0.79</v>
      </c>
      <c r="P52" s="395">
        <f>P51*1000/48.03</f>
        <v>2.9981261711430363</v>
      </c>
      <c r="Q52" s="395"/>
      <c r="R52" s="395"/>
      <c r="S52" s="395"/>
      <c r="T52" s="395"/>
      <c r="U52" s="335">
        <f>K52*10/((I52+J52)*10/2)^0.5</f>
        <v>9.3974328923617723</v>
      </c>
      <c r="V52" s="367"/>
      <c r="W52" s="337">
        <f>SUM(I52:L52)</f>
        <v>4.1344117647058818</v>
      </c>
      <c r="X52" s="353">
        <f>SUM(N52:P52)</f>
        <v>4.1880606081205816</v>
      </c>
      <c r="Y52" s="134">
        <f>W52/X52</f>
        <v>0.98719005085297107</v>
      </c>
      <c r="Z52" s="354">
        <f>SUM(I51:P51)</f>
        <v>0.28451179999999998</v>
      </c>
      <c r="AA52" s="35">
        <f>Z52/H51</f>
        <v>0.88909937499999991</v>
      </c>
      <c r="AC52" s="45"/>
    </row>
    <row r="53" spans="1:29" ht="15.75">
      <c r="A53" s="326"/>
      <c r="B53" s="326">
        <v>6</v>
      </c>
      <c r="C53" s="377">
        <v>1</v>
      </c>
      <c r="D53" s="314"/>
      <c r="E53" s="330" t="s">
        <v>37</v>
      </c>
      <c r="F53" s="342"/>
      <c r="G53" s="356">
        <f>SUM(I54:L54)</f>
        <v>3.7570882352941175</v>
      </c>
      <c r="H53" s="345">
        <v>0.29499999999999998</v>
      </c>
      <c r="I53" s="345">
        <v>1.5029999999999998E-2</v>
      </c>
      <c r="J53" s="343">
        <v>5.9584E-3</v>
      </c>
      <c r="K53" s="343">
        <v>5.6154499999999996E-2</v>
      </c>
      <c r="L53" s="344">
        <v>2.9554999999999998E-3</v>
      </c>
      <c r="M53" s="372"/>
      <c r="N53" s="343">
        <v>3.2940000000000004E-2</v>
      </c>
      <c r="O53" s="343">
        <v>1.7375399999999999E-2</v>
      </c>
      <c r="P53" s="345">
        <v>0.13344</v>
      </c>
      <c r="Q53" s="345"/>
      <c r="R53" s="345"/>
      <c r="S53" s="345"/>
      <c r="T53" s="345"/>
      <c r="U53" s="324"/>
      <c r="V53" s="374"/>
      <c r="W53" s="156"/>
      <c r="X53" s="156"/>
      <c r="Y53" s="337"/>
      <c r="Z53" s="35"/>
      <c r="AA53" s="35"/>
    </row>
    <row r="54" spans="1:29" s="35" customFormat="1" ht="15.75">
      <c r="A54" s="346"/>
      <c r="B54" s="347"/>
      <c r="C54" s="94"/>
      <c r="D54" s="375"/>
      <c r="E54" s="349"/>
      <c r="F54" s="350"/>
      <c r="G54" s="281"/>
      <c r="H54" s="332"/>
      <c r="I54" s="351">
        <f>I53*1000/20.04</f>
        <v>0.74999999999999989</v>
      </c>
      <c r="J54" s="351">
        <f>J53*1000/12.16</f>
        <v>0.49</v>
      </c>
      <c r="K54" s="351">
        <f>K53*1000/23</f>
        <v>2.4415</v>
      </c>
      <c r="L54" s="351">
        <f>L53*1000/39.1</f>
        <v>7.5588235294117637E-2</v>
      </c>
      <c r="M54" s="91"/>
      <c r="N54" s="352">
        <f>N53*1000/61.01</f>
        <v>0.53991148991968541</v>
      </c>
      <c r="O54" s="352">
        <f>O53*1000/35.46</f>
        <v>0.48999999999999994</v>
      </c>
      <c r="P54" s="351">
        <f>P53*1000/48.03</f>
        <v>2.778263585259213</v>
      </c>
      <c r="Q54" s="351"/>
      <c r="R54" s="351"/>
      <c r="S54" s="351"/>
      <c r="T54" s="351"/>
      <c r="U54" s="335">
        <f>K54*10/((I54+J54)*10/2)^0.5</f>
        <v>9.8052999575772546</v>
      </c>
      <c r="V54" s="336"/>
      <c r="W54" s="337">
        <f>SUM(I54:L54)</f>
        <v>3.7570882352941175</v>
      </c>
      <c r="X54" s="353">
        <f>SUM(N54:P54)</f>
        <v>3.8081750751788981</v>
      </c>
      <c r="Y54" s="134">
        <f>W54/X54</f>
        <v>0.98658495503062427</v>
      </c>
      <c r="Z54" s="354">
        <f>SUM(I53:P53)</f>
        <v>0.26385379999999997</v>
      </c>
      <c r="AA54" s="35">
        <f>Z54/H53</f>
        <v>0.89441966101694914</v>
      </c>
      <c r="AC54" s="45"/>
    </row>
    <row r="55" spans="1:29" ht="15.75">
      <c r="A55" s="326"/>
      <c r="B55" s="326"/>
      <c r="C55" s="377"/>
      <c r="D55" s="390"/>
      <c r="E55" s="404" t="s">
        <v>586</v>
      </c>
      <c r="F55" s="331"/>
      <c r="G55" s="356">
        <f>SUM(I56:L56)</f>
        <v>2.7338529411764707</v>
      </c>
      <c r="H55" s="332">
        <v>0.23</v>
      </c>
      <c r="I55" s="356">
        <v>2.0039999999999999E-2</v>
      </c>
      <c r="J55" s="331">
        <v>5.9584E-3</v>
      </c>
      <c r="K55" s="379">
        <v>2.77495E-2</v>
      </c>
      <c r="L55" s="334">
        <v>1.4605E-3</v>
      </c>
      <c r="M55" s="333"/>
      <c r="N55" s="379">
        <v>2.6839999999999999E-2</v>
      </c>
      <c r="O55" s="379">
        <v>1.38294E-2</v>
      </c>
      <c r="P55" s="332">
        <v>9.264E-2</v>
      </c>
      <c r="Q55" s="332"/>
      <c r="R55" s="332"/>
      <c r="S55" s="332"/>
      <c r="T55" s="332"/>
      <c r="U55" s="335"/>
      <c r="V55" s="336"/>
      <c r="W55" s="156"/>
      <c r="X55" s="156"/>
      <c r="Y55" s="337"/>
      <c r="Z55" s="35"/>
      <c r="AA55" s="35"/>
    </row>
    <row r="56" spans="1:29" s="35" customFormat="1" ht="15.75">
      <c r="A56" s="346"/>
      <c r="B56" s="347"/>
      <c r="C56" s="94"/>
      <c r="D56" s="375"/>
      <c r="E56" s="349"/>
      <c r="F56" s="350"/>
      <c r="G56" s="350"/>
      <c r="H56" s="332"/>
      <c r="I56" s="351">
        <f>I55*1000/20.04</f>
        <v>1</v>
      </c>
      <c r="J56" s="351">
        <f>J55*1000/12.16</f>
        <v>0.49</v>
      </c>
      <c r="K56" s="351">
        <f>K55*1000/23</f>
        <v>1.2065000000000001</v>
      </c>
      <c r="L56" s="351">
        <f>L55*1000/39.1</f>
        <v>3.7352941176470582E-2</v>
      </c>
      <c r="M56" s="91"/>
      <c r="N56" s="352">
        <f>N55*1000/61.01</f>
        <v>0.43992788067529914</v>
      </c>
      <c r="O56" s="352">
        <f>O55*1000/35.46</f>
        <v>0.38999999999999996</v>
      </c>
      <c r="P56" s="351">
        <f>P55*1000/48.03</f>
        <v>1.9287945034353529</v>
      </c>
      <c r="Q56" s="351"/>
      <c r="R56" s="351"/>
      <c r="S56" s="351"/>
      <c r="T56" s="351"/>
      <c r="U56" s="335">
        <f>K56*10/((I56+J56)*10/2)^0.5</f>
        <v>4.4202739901109078</v>
      </c>
      <c r="V56" s="336"/>
      <c r="W56" s="337">
        <f>SUM(I56:L56)</f>
        <v>2.7338529411764707</v>
      </c>
      <c r="X56" s="353">
        <f>SUM(N56:P56)</f>
        <v>2.7587223841106518</v>
      </c>
      <c r="Y56" s="134">
        <f>W56/X56</f>
        <v>0.9909851592616129</v>
      </c>
      <c r="Z56" s="354">
        <f>SUM(I55:P55)</f>
        <v>0.18851780000000001</v>
      </c>
      <c r="AA56" s="265">
        <f>Z56/H55</f>
        <v>0.8196426086956522</v>
      </c>
      <c r="AC56" s="45"/>
    </row>
    <row r="57" spans="1:29" ht="15.75">
      <c r="A57" s="326"/>
      <c r="B57" s="326"/>
      <c r="C57" s="377"/>
      <c r="D57" s="390"/>
      <c r="E57" s="404" t="s">
        <v>120</v>
      </c>
      <c r="F57" s="331"/>
      <c r="G57" s="356">
        <f>SUM(I58:L58)</f>
        <v>2.7926176470588233</v>
      </c>
      <c r="H57" s="332">
        <v>0.23</v>
      </c>
      <c r="I57" s="356">
        <v>1.5029999999999998E-2</v>
      </c>
      <c r="J57" s="331">
        <v>8.9984000000000001E-3</v>
      </c>
      <c r="K57" s="357">
        <v>2.90605E-2</v>
      </c>
      <c r="L57" s="352">
        <v>1.5295000000000003E-3</v>
      </c>
      <c r="M57" s="333"/>
      <c r="N57" s="357">
        <v>2.4400000000000002E-2</v>
      </c>
      <c r="O57" s="357">
        <v>1.7375399999999999E-2</v>
      </c>
      <c r="P57" s="351">
        <v>9.264E-2</v>
      </c>
      <c r="Q57" s="332"/>
      <c r="R57" s="332"/>
      <c r="S57" s="332"/>
      <c r="T57" s="332"/>
      <c r="U57" s="335"/>
      <c r="V57" s="336"/>
      <c r="W57" s="156"/>
      <c r="X57" s="156"/>
      <c r="Y57" s="337"/>
      <c r="Z57" s="35"/>
      <c r="AA57" s="265"/>
    </row>
    <row r="58" spans="1:29" ht="15.75">
      <c r="A58" s="326"/>
      <c r="B58" s="327"/>
      <c r="C58" s="328"/>
      <c r="D58" s="405"/>
      <c r="E58" s="330"/>
      <c r="F58" s="331"/>
      <c r="G58" s="331"/>
      <c r="H58" s="332"/>
      <c r="I58" s="332">
        <f>I57*1000/20.04</f>
        <v>0.74999999999999989</v>
      </c>
      <c r="J58" s="332">
        <f>J57*1000/12.16</f>
        <v>0.74</v>
      </c>
      <c r="K58" s="332">
        <f>K57*1000/23</f>
        <v>1.2635000000000001</v>
      </c>
      <c r="L58" s="332">
        <f>L57*1000/39.1</f>
        <v>3.9117647058823535E-2</v>
      </c>
      <c r="M58" s="333"/>
      <c r="N58" s="334">
        <f>N57*1000/61.01</f>
        <v>0.39993443697754472</v>
      </c>
      <c r="O58" s="334">
        <f>O57*1000/35.46</f>
        <v>0.48999999999999994</v>
      </c>
      <c r="P58" s="332">
        <f>P57*1000/48.03</f>
        <v>1.9287945034353529</v>
      </c>
      <c r="Q58" s="332"/>
      <c r="R58" s="332"/>
      <c r="S58" s="332"/>
      <c r="T58" s="332"/>
      <c r="U58" s="335">
        <f>K58*10/((I58+J58)*10/2)^0.5</f>
        <v>4.6291058321633924</v>
      </c>
      <c r="V58" s="336"/>
      <c r="W58" s="337">
        <f>SUM(I58:L58)</f>
        <v>2.7926176470588233</v>
      </c>
      <c r="X58" s="338">
        <f>SUM(N58:P58)</f>
        <v>2.8187289404128975</v>
      </c>
      <c r="Y58" s="337">
        <f>W58/X58</f>
        <v>0.99073650077532849</v>
      </c>
      <c r="Z58" s="280">
        <f>SUM(I57:P57)</f>
        <v>0.1890338</v>
      </c>
      <c r="AA58" s="265">
        <f>Z58/H57</f>
        <v>0.82188608695652177</v>
      </c>
    </row>
    <row r="59" spans="1:29" ht="15.75">
      <c r="A59" s="326"/>
      <c r="B59" s="326"/>
      <c r="C59" s="377"/>
      <c r="D59" s="390"/>
      <c r="E59" s="404" t="s">
        <v>121</v>
      </c>
      <c r="F59" s="331"/>
      <c r="G59" s="356">
        <f>SUM(I60:L60)</f>
        <v>6.4504705882352944</v>
      </c>
      <c r="H59" s="332">
        <v>0.54500000000000004</v>
      </c>
      <c r="I59" s="332">
        <v>1.5029999999999998E-2</v>
      </c>
      <c r="J59" s="379">
        <v>5.9584E-3</v>
      </c>
      <c r="K59" s="379">
        <v>0.116242</v>
      </c>
      <c r="L59" s="334">
        <v>6.118000000000001E-3</v>
      </c>
      <c r="M59" s="333"/>
      <c r="N59" s="379">
        <v>3.0499999999999999E-2</v>
      </c>
      <c r="O59" s="379">
        <v>1.7375399999999999E-2</v>
      </c>
      <c r="P59" s="332">
        <v>0.26736000000000004</v>
      </c>
      <c r="Q59" s="332"/>
      <c r="R59" s="332"/>
      <c r="S59" s="332"/>
      <c r="T59" s="332"/>
      <c r="U59" s="335"/>
      <c r="V59" s="336"/>
      <c r="W59" s="156"/>
      <c r="X59" s="156"/>
      <c r="Y59" s="337"/>
      <c r="AA59" s="265"/>
    </row>
    <row r="60" spans="1:29" ht="16.5" thickBot="1">
      <c r="A60" s="326"/>
      <c r="B60" s="327"/>
      <c r="C60" s="328"/>
      <c r="D60" s="405"/>
      <c r="E60" s="355"/>
      <c r="F60" s="406"/>
      <c r="G60" s="363"/>
      <c r="H60" s="358"/>
      <c r="I60" s="358">
        <f>I59*1000/20.04</f>
        <v>0.74999999999999989</v>
      </c>
      <c r="J60" s="358">
        <f>J59*1000/12.16</f>
        <v>0.49</v>
      </c>
      <c r="K60" s="358">
        <f>K59*1000/23</f>
        <v>5.0540000000000003</v>
      </c>
      <c r="L60" s="358">
        <f>L59*1000/39.1</f>
        <v>0.15647058823529414</v>
      </c>
      <c r="M60" s="407"/>
      <c r="N60" s="360">
        <f>N59*1000/61.01</f>
        <v>0.49991804622193087</v>
      </c>
      <c r="O60" s="360">
        <f>O59*1000/35.46</f>
        <v>0.48999999999999994</v>
      </c>
      <c r="P60" s="358">
        <f>P59*1000/48.03</f>
        <v>5.5665209244222362</v>
      </c>
      <c r="Q60" s="358"/>
      <c r="R60" s="358"/>
      <c r="S60" s="358"/>
      <c r="T60" s="358"/>
      <c r="U60" s="335">
        <f>K60*10/((I60+J60)*10/2)^0.5</f>
        <v>20.297352441366151</v>
      </c>
      <c r="V60" s="408"/>
      <c r="W60" s="337">
        <f>SUM(I60:L60)</f>
        <v>6.4504705882352944</v>
      </c>
      <c r="X60" s="338">
        <f>SUM(N60:P60)</f>
        <v>6.5564389706441668</v>
      </c>
      <c r="Y60" s="337">
        <f>W60/X60</f>
        <v>0.98383750952562266</v>
      </c>
      <c r="Z60" s="280">
        <f>SUM(I59:P59)</f>
        <v>0.45858380000000004</v>
      </c>
      <c r="AA60" s="265">
        <f>Z60/H59</f>
        <v>0.84143816513761471</v>
      </c>
    </row>
    <row r="61" spans="1:29" ht="15.75">
      <c r="A61" s="386"/>
      <c r="B61" s="386">
        <v>6</v>
      </c>
      <c r="C61" s="368">
        <v>2</v>
      </c>
      <c r="D61" s="314"/>
      <c r="E61" s="409" t="s">
        <v>37</v>
      </c>
      <c r="F61" s="316"/>
      <c r="G61" s="356">
        <f>SUM(I62:L62)</f>
        <v>5.8606764705882357</v>
      </c>
      <c r="H61" s="388">
        <v>0.42</v>
      </c>
      <c r="I61" s="387">
        <v>7.4949600000000005E-2</v>
      </c>
      <c r="J61" s="387">
        <v>3.0400000000000002E-3</v>
      </c>
      <c r="K61" s="387">
        <v>4.1733499999999993E-2</v>
      </c>
      <c r="L61" s="389">
        <v>2.1965000000000001E-3</v>
      </c>
      <c r="M61" s="320"/>
      <c r="N61" s="387">
        <v>1.83E-2</v>
      </c>
      <c r="O61" s="387">
        <v>4.53888E-2</v>
      </c>
      <c r="P61" s="387">
        <v>0.19536000000000001</v>
      </c>
      <c r="Q61" s="323"/>
      <c r="R61" s="323"/>
      <c r="S61" s="323"/>
      <c r="T61" s="323"/>
      <c r="U61" s="324"/>
      <c r="V61" s="325"/>
      <c r="W61" s="156"/>
      <c r="X61" s="156"/>
      <c r="Y61" s="337"/>
    </row>
    <row r="62" spans="1:29" s="35" customFormat="1" ht="15.75">
      <c r="A62" s="346"/>
      <c r="B62" s="347"/>
      <c r="C62" s="94"/>
      <c r="D62" s="410"/>
      <c r="E62" s="411"/>
      <c r="F62" s="350"/>
      <c r="G62" s="281"/>
      <c r="H62" s="332"/>
      <c r="I62" s="351">
        <f>I61*1000/20.04</f>
        <v>3.74</v>
      </c>
      <c r="J62" s="351">
        <f>J61*1000/12.16</f>
        <v>0.25</v>
      </c>
      <c r="K62" s="351">
        <f>K61*1000/23</f>
        <v>1.8144999999999996</v>
      </c>
      <c r="L62" s="351">
        <f>L61*1000/39.1</f>
        <v>5.6176470588235286E-2</v>
      </c>
      <c r="M62" s="91"/>
      <c r="N62" s="352">
        <f>N61*1000/61.01</f>
        <v>0.29995082773315851</v>
      </c>
      <c r="O62" s="352">
        <f>O61*1000/35.46</f>
        <v>1.28</v>
      </c>
      <c r="P62" s="351">
        <f>P61*1000/48.03</f>
        <v>4.0674578388507188</v>
      </c>
      <c r="Q62" s="351"/>
      <c r="R62" s="351"/>
      <c r="S62" s="351"/>
      <c r="T62" s="351"/>
      <c r="U62" s="335">
        <f>K62*10/((I62+J62)*10/2)^0.5</f>
        <v>4.062426556112678</v>
      </c>
      <c r="V62" s="336"/>
      <c r="W62" s="337">
        <f>SUM(I62:L62)</f>
        <v>5.8606764705882357</v>
      </c>
      <c r="X62" s="353">
        <f>SUM(N62:P62)</f>
        <v>5.6474086665838774</v>
      </c>
      <c r="Y62" s="431">
        <f>W62/X62</f>
        <v>1.0377638341043529</v>
      </c>
      <c r="Z62" s="354">
        <f>SUM(I61:P61)</f>
        <v>0.38096839999999998</v>
      </c>
      <c r="AA62" s="35">
        <f>Z62/H61</f>
        <v>0.90706761904761901</v>
      </c>
      <c r="AC62" s="45"/>
    </row>
    <row r="63" spans="1:29" ht="15.75">
      <c r="A63" s="326"/>
      <c r="B63" s="326"/>
      <c r="C63" s="377"/>
      <c r="D63" s="390"/>
      <c r="E63" s="412" t="s">
        <v>119</v>
      </c>
      <c r="F63" s="331"/>
      <c r="G63" s="356">
        <f>SUM(I64:L64)</f>
        <v>5.9399705882352949</v>
      </c>
      <c r="H63" s="379">
        <v>0.46500000000000002</v>
      </c>
      <c r="I63" s="331">
        <v>7.50498E-2</v>
      </c>
      <c r="J63" s="357">
        <v>1.79968E-2</v>
      </c>
      <c r="K63" s="357">
        <v>1.5950499999999999E-2</v>
      </c>
      <c r="L63" s="352">
        <v>8.3949999999999997E-4</v>
      </c>
      <c r="M63" s="333"/>
      <c r="N63" s="357">
        <v>2.1349999999999997E-2</v>
      </c>
      <c r="O63" s="357">
        <v>3.1559400000000001E-2</v>
      </c>
      <c r="P63" s="357">
        <v>0.22608</v>
      </c>
      <c r="Q63" s="332"/>
      <c r="R63" s="332"/>
      <c r="S63" s="332"/>
      <c r="T63" s="332"/>
      <c r="U63" s="335"/>
      <c r="V63" s="336"/>
      <c r="W63" s="156"/>
      <c r="X63" s="156"/>
      <c r="Y63" s="337"/>
    </row>
    <row r="64" spans="1:29" s="35" customFormat="1" ht="15.75">
      <c r="A64" s="346"/>
      <c r="B64" s="347"/>
      <c r="C64" s="94"/>
      <c r="D64" s="410"/>
      <c r="E64" s="145"/>
      <c r="F64" s="350"/>
      <c r="G64" s="350"/>
      <c r="H64" s="332"/>
      <c r="I64" s="351">
        <f>I63*1000/20.04</f>
        <v>3.7450000000000006</v>
      </c>
      <c r="J64" s="351">
        <f>J63*1000/12.16</f>
        <v>1.48</v>
      </c>
      <c r="K64" s="351">
        <f>K63*1000/23</f>
        <v>0.69350000000000001</v>
      </c>
      <c r="L64" s="351">
        <f>L63*1000/39.1</f>
        <v>2.1470588235294116E-2</v>
      </c>
      <c r="M64" s="91"/>
      <c r="N64" s="352">
        <f>N63*1000/61.01</f>
        <v>0.34994263235535156</v>
      </c>
      <c r="O64" s="352">
        <f>O63*1000/35.46</f>
        <v>0.89</v>
      </c>
      <c r="P64" s="351">
        <f>P63*1000/48.03</f>
        <v>4.7070580886945663</v>
      </c>
      <c r="Q64" s="351"/>
      <c r="R64" s="351"/>
      <c r="S64" s="351"/>
      <c r="T64" s="351"/>
      <c r="U64" s="335">
        <f>K64*10/((I64+J64)*10/2)^0.5</f>
        <v>1.3568077508354941</v>
      </c>
      <c r="V64" s="336"/>
      <c r="W64" s="337">
        <f>SUM(I64:L64)</f>
        <v>5.9399705882352949</v>
      </c>
      <c r="X64" s="353">
        <f>SUM(N64:P64)</f>
        <v>5.9470007210499176</v>
      </c>
      <c r="Y64" s="134">
        <f>W64/X64</f>
        <v>0.99881786918408488</v>
      </c>
      <c r="Z64" s="354">
        <f>SUM(I63:P63)</f>
        <v>0.388826</v>
      </c>
      <c r="AA64" s="265">
        <f>Z64/H63</f>
        <v>0.83618494623655915</v>
      </c>
      <c r="AC64" s="45"/>
    </row>
    <row r="65" spans="1:29" ht="15.75">
      <c r="A65" s="326"/>
      <c r="B65" s="326"/>
      <c r="C65" s="377"/>
      <c r="D65" s="399"/>
      <c r="E65" s="413" t="s">
        <v>120</v>
      </c>
      <c r="F65" s="331"/>
      <c r="G65" s="356">
        <f>SUM(I66:L66)</f>
        <v>4.1008823529411762</v>
      </c>
      <c r="H65" s="379">
        <v>0.31</v>
      </c>
      <c r="I65" s="331">
        <v>3.5069999999999997E-2</v>
      </c>
      <c r="J65" s="379">
        <v>5.9584E-3</v>
      </c>
      <c r="K65" s="379">
        <v>4.1514999999999996E-2</v>
      </c>
      <c r="L65" s="334">
        <v>2.1849999999999999E-3</v>
      </c>
      <c r="M65" s="333"/>
      <c r="N65" s="379">
        <v>2.1349999999999997E-2</v>
      </c>
      <c r="O65" s="379">
        <v>2.8013400000000001E-2</v>
      </c>
      <c r="P65" s="379">
        <v>0.14400000000000002</v>
      </c>
      <c r="Q65" s="332"/>
      <c r="R65" s="332"/>
      <c r="S65" s="332"/>
      <c r="T65" s="332"/>
      <c r="U65" s="335"/>
      <c r="V65" s="336"/>
      <c r="W65" s="156"/>
      <c r="X65" s="156"/>
      <c r="Y65" s="337"/>
      <c r="Z65" s="35"/>
      <c r="AA65" s="35"/>
    </row>
    <row r="66" spans="1:29" s="35" customFormat="1" ht="15.75">
      <c r="A66" s="346"/>
      <c r="B66" s="347"/>
      <c r="C66" s="94"/>
      <c r="D66" s="410"/>
      <c r="E66" s="411"/>
      <c r="F66" s="350"/>
      <c r="G66" s="331"/>
      <c r="H66" s="332"/>
      <c r="I66" s="351">
        <f>I65*1000/20.04</f>
        <v>1.75</v>
      </c>
      <c r="J66" s="351">
        <f>J65*1000/12.16</f>
        <v>0.49</v>
      </c>
      <c r="K66" s="351">
        <f>K65*1000/23</f>
        <v>1.8049999999999997</v>
      </c>
      <c r="L66" s="351">
        <f>L65*1000/39.1</f>
        <v>5.5882352941176473E-2</v>
      </c>
      <c r="M66" s="91"/>
      <c r="N66" s="352">
        <f>N65*1000/61.01</f>
        <v>0.34994263235535156</v>
      </c>
      <c r="O66" s="352">
        <f>O65*1000/35.46</f>
        <v>0.79</v>
      </c>
      <c r="P66" s="351">
        <f>P65*1000/48.03</f>
        <v>2.9981261711430363</v>
      </c>
      <c r="Q66" s="351"/>
      <c r="R66" s="351"/>
      <c r="S66" s="351"/>
      <c r="T66" s="351"/>
      <c r="U66" s="335">
        <f>K66*10/((I66+J66)*10/2)^0.5</f>
        <v>5.3934690996214503</v>
      </c>
      <c r="V66" s="336"/>
      <c r="W66" s="337">
        <f>SUM(I66:L66)</f>
        <v>4.1008823529411762</v>
      </c>
      <c r="X66" s="353">
        <f>SUM(N66:P66)</f>
        <v>4.1380688034983883</v>
      </c>
      <c r="Y66" s="134">
        <f>W66/X66</f>
        <v>0.99101357364435938</v>
      </c>
      <c r="Z66" s="354">
        <f>SUM(I65:P65)</f>
        <v>0.2780918</v>
      </c>
      <c r="AA66" s="35">
        <f>Z66/H65</f>
        <v>0.89707032258064512</v>
      </c>
      <c r="AC66" s="45"/>
    </row>
    <row r="67" spans="1:29" ht="15.75">
      <c r="A67" s="326"/>
      <c r="B67" s="326"/>
      <c r="C67" s="377"/>
      <c r="D67" s="390"/>
      <c r="E67" s="412" t="s">
        <v>121</v>
      </c>
      <c r="F67" s="331"/>
      <c r="G67" s="356">
        <f>SUM(I68:L68)</f>
        <v>6.3976470588235284</v>
      </c>
      <c r="H67" s="379">
        <v>0.505</v>
      </c>
      <c r="I67" s="379">
        <v>2.5049999999999999E-2</v>
      </c>
      <c r="J67" s="379">
        <v>1.4956800000000001E-2</v>
      </c>
      <c r="K67" s="379">
        <v>8.7399999999999992E-2</v>
      </c>
      <c r="L67" s="334">
        <v>4.5999999999999999E-3</v>
      </c>
      <c r="M67" s="333"/>
      <c r="N67" s="379">
        <v>2.4400000000000002E-2</v>
      </c>
      <c r="O67" s="379">
        <v>3.7942200000000002E-2</v>
      </c>
      <c r="P67" s="379">
        <v>0.24048</v>
      </c>
      <c r="Q67" s="332"/>
      <c r="R67" s="332"/>
      <c r="S67" s="332"/>
      <c r="T67" s="332"/>
      <c r="U67" s="335"/>
      <c r="V67" s="336"/>
      <c r="W67" s="156"/>
      <c r="X67" s="156"/>
      <c r="Y67" s="337"/>
      <c r="Z67" s="35"/>
      <c r="AA67" s="35"/>
    </row>
    <row r="68" spans="1:29" s="35" customFormat="1" ht="16.5" thickBot="1">
      <c r="A68" s="391"/>
      <c r="B68" s="392"/>
      <c r="C68" s="132"/>
      <c r="D68" s="414"/>
      <c r="E68" s="155"/>
      <c r="F68" s="381"/>
      <c r="G68" s="363"/>
      <c r="H68" s="364"/>
      <c r="I68" s="395">
        <f>I67*1000/20.04</f>
        <v>1.25</v>
      </c>
      <c r="J68" s="395">
        <f>J67*1000/12.16</f>
        <v>1.23</v>
      </c>
      <c r="K68" s="395">
        <f>K67*1000/23</f>
        <v>3.8</v>
      </c>
      <c r="L68" s="395">
        <f>L67*1000/39.1</f>
        <v>0.1176470588235294</v>
      </c>
      <c r="M68" s="396"/>
      <c r="N68" s="397">
        <f>N67*1000/61.01</f>
        <v>0.39993443697754472</v>
      </c>
      <c r="O68" s="397">
        <f>O67*1000/35.46</f>
        <v>1.07</v>
      </c>
      <c r="P68" s="395">
        <f>P67*1000/48.03</f>
        <v>5.0068707058088693</v>
      </c>
      <c r="Q68" s="395"/>
      <c r="R68" s="395"/>
      <c r="S68" s="395"/>
      <c r="T68" s="395"/>
      <c r="U68" s="335">
        <f>K68*10/((I68+J68)*10/2)^0.5</f>
        <v>10.791274850694231</v>
      </c>
      <c r="V68" s="367"/>
      <c r="W68" s="337">
        <f>SUM(I68:L68)</f>
        <v>6.3976470588235284</v>
      </c>
      <c r="X68" s="353">
        <f>SUM(N68:P68)</f>
        <v>6.4768051427864144</v>
      </c>
      <c r="Y68" s="134">
        <f>W68/X68</f>
        <v>0.9877782205550758</v>
      </c>
      <c r="Z68" s="354">
        <f>SUM(I67:P67)</f>
        <v>0.43482900000000002</v>
      </c>
      <c r="AA68" s="35">
        <f>Z68/H67</f>
        <v>0.86104752475247526</v>
      </c>
      <c r="AC68" s="45"/>
    </row>
    <row r="69" spans="1:29" ht="15.75">
      <c r="A69" s="326"/>
      <c r="B69" s="326">
        <v>5</v>
      </c>
      <c r="C69" s="377">
        <v>2</v>
      </c>
      <c r="D69" s="314"/>
      <c r="E69" s="355" t="s">
        <v>37</v>
      </c>
      <c r="F69" s="342"/>
      <c r="G69" s="356">
        <f>SUM(I70:L70)</f>
        <v>5.7032647058823525</v>
      </c>
      <c r="H69" s="343">
        <v>0.41499999999999998</v>
      </c>
      <c r="I69" s="345">
        <v>4.5089999999999998E-2</v>
      </c>
      <c r="J69" s="343">
        <v>1.4956800000000001E-2</v>
      </c>
      <c r="K69" s="343">
        <v>4.9599499999999998E-2</v>
      </c>
      <c r="L69" s="344">
        <v>2.6105E-3</v>
      </c>
      <c r="M69" s="372"/>
      <c r="N69" s="343">
        <v>2.4400000000000002E-2</v>
      </c>
      <c r="O69" s="343">
        <v>3.7942200000000002E-2</v>
      </c>
      <c r="P69" s="343">
        <v>0.20544000000000001</v>
      </c>
      <c r="Q69" s="345"/>
      <c r="R69" s="345"/>
      <c r="S69" s="345"/>
      <c r="T69" s="345"/>
      <c r="U69" s="324"/>
      <c r="V69" s="374"/>
      <c r="W69" s="156"/>
      <c r="X69" s="156"/>
      <c r="Y69" s="337"/>
      <c r="Z69" s="35"/>
      <c r="AA69" s="35"/>
    </row>
    <row r="70" spans="1:29" s="35" customFormat="1" ht="15.75">
      <c r="A70" s="346"/>
      <c r="B70" s="347"/>
      <c r="C70" s="94"/>
      <c r="D70" s="410"/>
      <c r="E70" s="411"/>
      <c r="F70" s="350"/>
      <c r="G70" s="281"/>
      <c r="H70" s="332"/>
      <c r="I70" s="351">
        <f>I69*1000/20.04</f>
        <v>2.25</v>
      </c>
      <c r="J70" s="351">
        <f>J69*1000/12.16</f>
        <v>1.23</v>
      </c>
      <c r="K70" s="351">
        <f>K69*1000/23</f>
        <v>2.1564999999999999</v>
      </c>
      <c r="L70" s="351">
        <f>L69*1000/39.1</f>
        <v>6.6764705882352934E-2</v>
      </c>
      <c r="M70" s="91"/>
      <c r="N70" s="352">
        <f>N69*1000/61.01</f>
        <v>0.39993443697754472</v>
      </c>
      <c r="O70" s="352">
        <f>O69*1000/35.46</f>
        <v>1.07</v>
      </c>
      <c r="P70" s="351">
        <f>P69*1000/48.03</f>
        <v>4.2773266708307309</v>
      </c>
      <c r="Q70" s="351"/>
      <c r="R70" s="351"/>
      <c r="S70" s="351"/>
      <c r="T70" s="351"/>
      <c r="U70" s="335">
        <f>K70*10/((I70+J70)*10/2)^0.5</f>
        <v>5.1698130482661542</v>
      </c>
      <c r="V70" s="336"/>
      <c r="W70" s="337">
        <f>SUM(I70:L70)</f>
        <v>5.7032647058823525</v>
      </c>
      <c r="X70" s="353">
        <f>SUM(N70:P70)</f>
        <v>5.747261107808276</v>
      </c>
      <c r="Y70" s="134">
        <f>W70/X70</f>
        <v>0.99234480544721559</v>
      </c>
      <c r="Z70" s="354">
        <f>SUM(I69:P69)</f>
        <v>0.38003900000000002</v>
      </c>
      <c r="AA70" s="35">
        <f>Z70/H69</f>
        <v>0.91575662650602419</v>
      </c>
      <c r="AC70" s="45"/>
    </row>
    <row r="71" spans="1:29" ht="15.75">
      <c r="A71" s="326"/>
      <c r="B71" s="326"/>
      <c r="C71" s="377"/>
      <c r="D71" s="390"/>
      <c r="E71" s="340" t="s">
        <v>119</v>
      </c>
      <c r="F71" s="331"/>
      <c r="G71" s="356">
        <f>SUM(I72:L72)</f>
        <v>6.9690000000000003</v>
      </c>
      <c r="H71" s="379">
        <v>0.51</v>
      </c>
      <c r="I71" s="356">
        <v>8.4969599999999992E-2</v>
      </c>
      <c r="J71" s="357">
        <v>2.1036800000000001E-2</v>
      </c>
      <c r="K71" s="357">
        <v>2.2287000000000001E-2</v>
      </c>
      <c r="L71" s="352">
        <v>1.1730000000000002E-3</v>
      </c>
      <c r="M71" s="333"/>
      <c r="N71" s="357">
        <v>1.83E-2</v>
      </c>
      <c r="O71" s="357">
        <v>4.8934799999999994E-2</v>
      </c>
      <c r="P71" s="357">
        <v>0.25488</v>
      </c>
      <c r="Q71" s="332"/>
      <c r="R71" s="332"/>
      <c r="S71" s="332"/>
      <c r="T71" s="332"/>
      <c r="U71" s="335"/>
      <c r="V71" s="336"/>
      <c r="W71" s="156"/>
      <c r="X71" s="156"/>
      <c r="Y71" s="337"/>
    </row>
    <row r="72" spans="1:29" s="35" customFormat="1" ht="15.75">
      <c r="A72" s="346"/>
      <c r="B72" s="347"/>
      <c r="C72" s="94"/>
      <c r="D72" s="410"/>
      <c r="E72" s="411"/>
      <c r="F72" s="350"/>
      <c r="G72" s="350"/>
      <c r="H72" s="332"/>
      <c r="I72" s="351">
        <f>I71*1000/20.04</f>
        <v>4.2399999999999993</v>
      </c>
      <c r="J72" s="351">
        <f>J71*1000/12.16</f>
        <v>1.7300000000000002</v>
      </c>
      <c r="K72" s="351">
        <f>K71*1000/23</f>
        <v>0.96900000000000008</v>
      </c>
      <c r="L72" s="351">
        <f>L71*1000/39.1</f>
        <v>3.0000000000000006E-2</v>
      </c>
      <c r="M72" s="91"/>
      <c r="N72" s="352">
        <f>N71*1000/61.01</f>
        <v>0.29995082773315851</v>
      </c>
      <c r="O72" s="352">
        <f>O71*1000/35.46</f>
        <v>1.38</v>
      </c>
      <c r="P72" s="351">
        <f>P71*1000/48.03</f>
        <v>5.3066833229231731</v>
      </c>
      <c r="Q72" s="351"/>
      <c r="R72" s="351"/>
      <c r="S72" s="351"/>
      <c r="T72" s="351"/>
      <c r="U72" s="335">
        <f>K72*10/((I72+J72)*10/2)^0.5</f>
        <v>1.7735833755281283</v>
      </c>
      <c r="V72" s="336"/>
      <c r="W72" s="337">
        <f>SUM(I72:L72)</f>
        <v>6.9690000000000003</v>
      </c>
      <c r="X72" s="353">
        <f>SUM(N72:P72)</f>
        <v>6.9866341506563314</v>
      </c>
      <c r="Y72" s="134">
        <f>W72/X72</f>
        <v>0.99747601630827132</v>
      </c>
      <c r="Z72" s="354">
        <f>SUM(I71:P71)</f>
        <v>0.45158120000000002</v>
      </c>
      <c r="AA72" s="35">
        <f>Z72/H71</f>
        <v>0.88545333333333331</v>
      </c>
      <c r="AC72" s="45"/>
    </row>
    <row r="73" spans="1:29" ht="15.75">
      <c r="A73" s="326"/>
      <c r="B73" s="326"/>
      <c r="C73" s="377"/>
      <c r="D73" s="390"/>
      <c r="E73" s="355" t="s">
        <v>120</v>
      </c>
      <c r="F73" s="331"/>
      <c r="G73" s="356">
        <f>SUM(I74:L74)</f>
        <v>4.7431470588235296</v>
      </c>
      <c r="H73" s="379">
        <v>0.375</v>
      </c>
      <c r="I73" s="356">
        <v>4.5089999999999998E-2</v>
      </c>
      <c r="J73" s="379">
        <v>8.9984000000000001E-3</v>
      </c>
      <c r="K73" s="379">
        <v>3.9111499999999993E-2</v>
      </c>
      <c r="L73" s="334">
        <v>2.0585E-3</v>
      </c>
      <c r="M73" s="333"/>
      <c r="N73" s="379">
        <v>2.1349999999999997E-2</v>
      </c>
      <c r="O73" s="379">
        <v>2.8013400000000001E-2</v>
      </c>
      <c r="P73" s="379">
        <v>0.17472000000000001</v>
      </c>
      <c r="Q73" s="332"/>
      <c r="R73" s="332"/>
      <c r="S73" s="332"/>
      <c r="T73" s="332"/>
      <c r="U73" s="335"/>
      <c r="V73" s="336"/>
      <c r="W73" s="156"/>
      <c r="X73" s="156"/>
      <c r="Y73" s="337"/>
    </row>
    <row r="74" spans="1:29" s="35" customFormat="1" ht="15.75">
      <c r="A74" s="346"/>
      <c r="B74" s="347"/>
      <c r="C74" s="94"/>
      <c r="D74" s="410"/>
      <c r="E74" s="411"/>
      <c r="F74" s="350"/>
      <c r="G74" s="331"/>
      <c r="H74" s="332"/>
      <c r="I74" s="351">
        <f>I73*1000/20.04</f>
        <v>2.25</v>
      </c>
      <c r="J74" s="351">
        <f>J73*1000/12.16</f>
        <v>0.74</v>
      </c>
      <c r="K74" s="351">
        <f>K73*1000/23</f>
        <v>1.7004999999999997</v>
      </c>
      <c r="L74" s="351">
        <f>L73*1000/39.1</f>
        <v>5.2647058823529408E-2</v>
      </c>
      <c r="M74" s="91"/>
      <c r="N74" s="352">
        <f>N73*1000/61.01</f>
        <v>0.34994263235535156</v>
      </c>
      <c r="O74" s="352">
        <f>O73*1000/35.46</f>
        <v>0.79</v>
      </c>
      <c r="P74" s="351">
        <f>P73*1000/48.03</f>
        <v>3.6377264209868838</v>
      </c>
      <c r="Q74" s="351"/>
      <c r="R74" s="351"/>
      <c r="S74" s="351"/>
      <c r="T74" s="351"/>
      <c r="U74" s="335">
        <f>K74*10/((I74+J74)*10/2)^0.5</f>
        <v>4.3980082524511879</v>
      </c>
      <c r="V74" s="336"/>
      <c r="W74" s="337">
        <f>SUM(I74:L74)</f>
        <v>4.7431470588235296</v>
      </c>
      <c r="X74" s="353">
        <f>SUM(N74:P74)</f>
        <v>4.777669053342235</v>
      </c>
      <c r="Y74" s="134">
        <f>W74/X74</f>
        <v>0.99277430183353632</v>
      </c>
      <c r="Z74" s="354">
        <f>SUM(I73:P73)</f>
        <v>0.31934180000000001</v>
      </c>
      <c r="AA74" s="35">
        <f>Z74/H73</f>
        <v>0.85157813333333332</v>
      </c>
      <c r="AC74" s="45"/>
    </row>
    <row r="75" spans="1:29" ht="15.75">
      <c r="A75" s="326"/>
      <c r="B75" s="326"/>
      <c r="C75" s="377"/>
      <c r="D75" s="390"/>
      <c r="E75" s="340" t="s">
        <v>121</v>
      </c>
      <c r="F75" s="331"/>
      <c r="G75" s="356">
        <f>SUM(I76:L76)</f>
        <v>4.4431764705882344</v>
      </c>
      <c r="H75" s="379">
        <v>0.33</v>
      </c>
      <c r="I75" s="332">
        <v>2.5049999999999999E-2</v>
      </c>
      <c r="J75" s="379">
        <v>5.9584E-3</v>
      </c>
      <c r="K75" s="379">
        <v>6.0305999999999992E-2</v>
      </c>
      <c r="L75" s="334">
        <v>3.1739999999999997E-3</v>
      </c>
      <c r="M75" s="333"/>
      <c r="N75" s="379">
        <v>2.6839999999999999E-2</v>
      </c>
      <c r="O75" s="379">
        <v>4.53888E-2</v>
      </c>
      <c r="P75" s="379">
        <v>0.13344</v>
      </c>
      <c r="Q75" s="332"/>
      <c r="R75" s="332"/>
      <c r="S75" s="332"/>
      <c r="T75" s="332"/>
      <c r="U75" s="335"/>
      <c r="V75" s="336"/>
      <c r="W75" s="156"/>
      <c r="X75" s="156"/>
      <c r="Y75" s="337"/>
    </row>
    <row r="76" spans="1:29" s="35" customFormat="1" ht="16.5" thickBot="1">
      <c r="A76" s="346"/>
      <c r="B76" s="347"/>
      <c r="C76" s="94"/>
      <c r="D76" s="410"/>
      <c r="E76" s="145"/>
      <c r="F76" s="400"/>
      <c r="G76" s="363"/>
      <c r="H76" s="358"/>
      <c r="I76" s="382">
        <f>I75*1000/20.04</f>
        <v>1.25</v>
      </c>
      <c r="J76" s="382">
        <f>J75*1000/12.16</f>
        <v>0.49</v>
      </c>
      <c r="K76" s="382">
        <f>K75*1000/23</f>
        <v>2.6219999999999994</v>
      </c>
      <c r="L76" s="382">
        <f>L75*1000/39.1</f>
        <v>8.1176470588235294E-2</v>
      </c>
      <c r="M76" s="383"/>
      <c r="N76" s="384">
        <f>N75*1000/61.01</f>
        <v>0.43992788067529914</v>
      </c>
      <c r="O76" s="384">
        <f>O75*1000/35.46</f>
        <v>1.28</v>
      </c>
      <c r="P76" s="382">
        <f>P75*1000/48.03</f>
        <v>2.778263585259213</v>
      </c>
      <c r="Q76" s="382"/>
      <c r="R76" s="382"/>
      <c r="S76" s="382"/>
      <c r="T76" s="382"/>
      <c r="U76" s="335">
        <f>K76*10/((I76+J76)*10/2)^0.5</f>
        <v>8.8894125324688229</v>
      </c>
      <c r="V76" s="408"/>
      <c r="W76" s="337">
        <f>SUM(I76:L76)</f>
        <v>4.4431764705882344</v>
      </c>
      <c r="X76" s="353">
        <f>SUM(N76:P76)</f>
        <v>4.4981914659345126</v>
      </c>
      <c r="Y76" s="134">
        <f>W76/X76</f>
        <v>0.98776953009605861</v>
      </c>
      <c r="Z76" s="354">
        <f>SUM(I75:P75)</f>
        <v>0.30015720000000001</v>
      </c>
      <c r="AA76" s="35">
        <f>Z76/H75</f>
        <v>0.90956727272727267</v>
      </c>
      <c r="AC76" s="45"/>
    </row>
    <row r="77" spans="1:29" ht="15.75">
      <c r="A77" s="386"/>
      <c r="B77" s="312">
        <v>4</v>
      </c>
      <c r="C77" s="368">
        <v>2</v>
      </c>
      <c r="D77" s="314"/>
      <c r="E77" s="315" t="s">
        <v>37</v>
      </c>
      <c r="F77" s="316"/>
      <c r="G77" s="356">
        <f>SUM(I78:L78)</f>
        <v>6.6994117647058813</v>
      </c>
      <c r="H77" s="323">
        <v>0.48499999999999999</v>
      </c>
      <c r="I77" s="388">
        <v>8.4969599999999992E-2</v>
      </c>
      <c r="J77" s="388">
        <v>1.79968E-2</v>
      </c>
      <c r="K77" s="388">
        <v>2.1849999999999998E-2</v>
      </c>
      <c r="L77" s="415">
        <v>1.15E-3</v>
      </c>
      <c r="M77" s="320"/>
      <c r="N77" s="388">
        <v>2.4400000000000002E-2</v>
      </c>
      <c r="O77" s="388">
        <v>5.9572799999999995E-2</v>
      </c>
      <c r="P77" s="388">
        <v>0.22272</v>
      </c>
      <c r="Q77" s="324"/>
      <c r="R77" s="416"/>
      <c r="S77" s="323"/>
      <c r="T77" s="323"/>
      <c r="U77" s="324"/>
      <c r="V77" s="325"/>
      <c r="W77" s="156"/>
      <c r="X77" s="156"/>
      <c r="Y77" s="337"/>
      <c r="Z77" s="35"/>
      <c r="AA77" s="35"/>
    </row>
    <row r="78" spans="1:29" s="35" customFormat="1" ht="15.75">
      <c r="A78" s="346"/>
      <c r="B78" s="347"/>
      <c r="C78" s="94"/>
      <c r="D78" s="410"/>
      <c r="E78" s="411"/>
      <c r="F78" s="350"/>
      <c r="G78" s="281"/>
      <c r="H78" s="332"/>
      <c r="I78" s="351">
        <f>I77*1000/20.04</f>
        <v>4.2399999999999993</v>
      </c>
      <c r="J78" s="351">
        <f>J77*1000/12.16</f>
        <v>1.48</v>
      </c>
      <c r="K78" s="351">
        <f>K77*1000/23</f>
        <v>0.95</v>
      </c>
      <c r="L78" s="351">
        <f>L77*1000/39.1</f>
        <v>2.9411764705882349E-2</v>
      </c>
      <c r="M78" s="91"/>
      <c r="N78" s="352">
        <f>N77*1000/61.01</f>
        <v>0.39993443697754472</v>
      </c>
      <c r="O78" s="352">
        <f>O77*1000/35.46</f>
        <v>1.6799999999999997</v>
      </c>
      <c r="P78" s="351">
        <f>P77*1000/48.03</f>
        <v>4.637101811367895</v>
      </c>
      <c r="Q78" s="351"/>
      <c r="R78" s="351"/>
      <c r="S78" s="351"/>
      <c r="T78" s="345"/>
      <c r="U78" s="335">
        <f>K78*10/((I78+J78)*10/2)^0.5</f>
        <v>1.7763992810160689</v>
      </c>
      <c r="V78" s="376" t="e">
        <f>S77/(Q77+R77+S77+T77)*100</f>
        <v>#DIV/0!</v>
      </c>
      <c r="W78" s="337">
        <f>SUM(I78:L78)</f>
        <v>6.6994117647058813</v>
      </c>
      <c r="X78" s="353">
        <f>SUM(N78:P78)</f>
        <v>6.7170362483454396</v>
      </c>
      <c r="Y78" s="134">
        <f>W78/X78</f>
        <v>0.99737615177469086</v>
      </c>
      <c r="Z78" s="354">
        <f>SUM(I77:P77)</f>
        <v>0.43265920000000002</v>
      </c>
      <c r="AA78" s="35">
        <f>Z78/H77</f>
        <v>0.89208082474226813</v>
      </c>
      <c r="AC78" s="45"/>
    </row>
    <row r="79" spans="1:29" ht="15.75">
      <c r="A79" s="326"/>
      <c r="B79" s="327"/>
      <c r="C79" s="377"/>
      <c r="D79" s="378"/>
      <c r="E79" s="340" t="s">
        <v>586</v>
      </c>
      <c r="F79" s="331"/>
      <c r="G79" s="356">
        <f>SUM(I80:L80)</f>
        <v>7.3277352941176472</v>
      </c>
      <c r="H79" s="332">
        <v>0.56000000000000005</v>
      </c>
      <c r="I79" s="331">
        <v>0.1150296</v>
      </c>
      <c r="J79" s="379">
        <v>1.79968E-2</v>
      </c>
      <c r="K79" s="379">
        <v>2.4034999999999998E-3</v>
      </c>
      <c r="L79" s="334">
        <v>1.2650000000000001E-4</v>
      </c>
      <c r="M79" s="333"/>
      <c r="N79" s="379">
        <v>1.83E-2</v>
      </c>
      <c r="O79" s="379">
        <v>4.8934799999999994E-2</v>
      </c>
      <c r="P79" s="379">
        <v>0.2712</v>
      </c>
      <c r="Q79" s="373"/>
      <c r="R79" s="417"/>
      <c r="S79" s="345"/>
      <c r="T79" s="345"/>
      <c r="U79" s="335"/>
      <c r="V79" s="336"/>
      <c r="W79" s="156"/>
      <c r="X79" s="156"/>
      <c r="Y79" s="337"/>
      <c r="Z79" s="35"/>
      <c r="AA79" s="35"/>
    </row>
    <row r="80" spans="1:29" s="35" customFormat="1" ht="15.75">
      <c r="A80" s="346"/>
      <c r="B80" s="347"/>
      <c r="C80" s="94"/>
      <c r="D80" s="410"/>
      <c r="E80" s="411"/>
      <c r="F80" s="350"/>
      <c r="G80" s="350"/>
      <c r="H80" s="332"/>
      <c r="I80" s="351">
        <f>I79*1000/20.04</f>
        <v>5.74</v>
      </c>
      <c r="J80" s="351">
        <f>J79*1000/12.16</f>
        <v>1.48</v>
      </c>
      <c r="K80" s="351">
        <f>K79*1000/23</f>
        <v>0.1045</v>
      </c>
      <c r="L80" s="351">
        <f>L79*1000/39.1</f>
        <v>3.2352941176470589E-3</v>
      </c>
      <c r="M80" s="91"/>
      <c r="N80" s="352">
        <f>N79*1000/61.01</f>
        <v>0.29995082773315851</v>
      </c>
      <c r="O80" s="352">
        <f>O79*1000/35.46</f>
        <v>1.38</v>
      </c>
      <c r="P80" s="351">
        <f>P79*1000/48.03</f>
        <v>5.6464709556527168</v>
      </c>
      <c r="Q80" s="351"/>
      <c r="R80" s="351"/>
      <c r="S80" s="351"/>
      <c r="T80" s="345"/>
      <c r="U80" s="335">
        <f>K80*10/((I80+J80)*10/2)^0.5</f>
        <v>0.17392527130926083</v>
      </c>
      <c r="V80" s="376" t="e">
        <f>S79/(Q79+R79+S79+T79)*100</f>
        <v>#DIV/0!</v>
      </c>
      <c r="W80" s="337">
        <f>SUM(I80:L80)</f>
        <v>7.3277352941176472</v>
      </c>
      <c r="X80" s="353">
        <f>SUM(N80:P80)</f>
        <v>7.3264217833858751</v>
      </c>
      <c r="Y80" s="134">
        <f>W80/X80</f>
        <v>1.0001792840721715</v>
      </c>
      <c r="Z80" s="354">
        <f>SUM(I79:P79)</f>
        <v>0.4739912</v>
      </c>
      <c r="AA80" s="35">
        <f>Z80/H79</f>
        <v>0.84641285714285708</v>
      </c>
      <c r="AC80" s="45"/>
    </row>
    <row r="81" spans="1:29" ht="15.75">
      <c r="A81" s="326"/>
      <c r="B81" s="327"/>
      <c r="C81" s="377"/>
      <c r="D81" s="378"/>
      <c r="E81" s="355" t="s">
        <v>587</v>
      </c>
      <c r="F81" s="331"/>
      <c r="G81" s="356">
        <f>SUM(I82:L82)</f>
        <v>5.0225294117647064</v>
      </c>
      <c r="H81" s="332">
        <v>0.38500000000000001</v>
      </c>
      <c r="I81" s="331">
        <v>4.5089999999999998E-2</v>
      </c>
      <c r="J81" s="379">
        <v>1.2038400000000001E-2</v>
      </c>
      <c r="K81" s="379">
        <v>3.9766999999999997E-2</v>
      </c>
      <c r="L81" s="334">
        <v>2.0930000000000002E-3</v>
      </c>
      <c r="M81" s="333"/>
      <c r="N81" s="379">
        <v>2.4400000000000002E-2</v>
      </c>
      <c r="O81" s="379">
        <v>3.1559400000000001E-2</v>
      </c>
      <c r="P81" s="379">
        <v>0.18096000000000001</v>
      </c>
      <c r="Q81" s="373"/>
      <c r="R81" s="417"/>
      <c r="S81" s="345"/>
      <c r="T81" s="345"/>
      <c r="U81" s="335"/>
      <c r="V81" s="336"/>
      <c r="W81" s="156"/>
      <c r="X81" s="156"/>
      <c r="Y81" s="337"/>
      <c r="Z81" s="35"/>
      <c r="AA81" s="35"/>
    </row>
    <row r="82" spans="1:29" s="35" customFormat="1" ht="15.75">
      <c r="A82" s="346"/>
      <c r="B82" s="347"/>
      <c r="C82" s="94"/>
      <c r="D82" s="410"/>
      <c r="E82" s="411"/>
      <c r="F82" s="350"/>
      <c r="G82" s="331"/>
      <c r="H82" s="332"/>
      <c r="I82" s="351">
        <f>I81*1000/20.04</f>
        <v>2.25</v>
      </c>
      <c r="J82" s="351">
        <f>J81*1000/12.16</f>
        <v>0.9900000000000001</v>
      </c>
      <c r="K82" s="351">
        <f>K81*1000/23</f>
        <v>1.7289999999999999</v>
      </c>
      <c r="L82" s="351">
        <f>L81*1000/39.1</f>
        <v>5.3529411764705888E-2</v>
      </c>
      <c r="M82" s="91"/>
      <c r="N82" s="352">
        <f>N81*1000/61.01</f>
        <v>0.39993443697754472</v>
      </c>
      <c r="O82" s="352">
        <f>O81*1000/35.46</f>
        <v>0.89</v>
      </c>
      <c r="P82" s="351">
        <f>P81*1000/48.03</f>
        <v>3.7676452217364149</v>
      </c>
      <c r="Q82" s="351"/>
      <c r="R82" s="351"/>
      <c r="S82" s="351"/>
      <c r="T82" s="345"/>
      <c r="U82" s="335">
        <f>K82*10/((I82+J82)*10/2)^0.5</f>
        <v>4.2957350367745946</v>
      </c>
      <c r="V82" s="376" t="e">
        <f>S81/(Q81+R81+S81+T81)*100</f>
        <v>#DIV/0!</v>
      </c>
      <c r="W82" s="337">
        <f>SUM(I82:L82)</f>
        <v>5.0225294117647064</v>
      </c>
      <c r="X82" s="353">
        <f>SUM(N82:P82)</f>
        <v>5.0575796587139594</v>
      </c>
      <c r="Y82" s="134">
        <f>W82/X82</f>
        <v>0.99306975879482917</v>
      </c>
      <c r="Z82" s="354">
        <f>SUM(I81:P81)</f>
        <v>0.33590779999999998</v>
      </c>
      <c r="AA82" s="35">
        <f>Z82/H81</f>
        <v>0.87248779220779216</v>
      </c>
      <c r="AC82" s="45"/>
    </row>
    <row r="83" spans="1:29" ht="15.75">
      <c r="A83" s="326"/>
      <c r="B83" s="327"/>
      <c r="C83" s="377"/>
      <c r="D83" s="378"/>
      <c r="E83" s="340" t="s">
        <v>588</v>
      </c>
      <c r="F83" s="331"/>
      <c r="G83" s="356">
        <f>SUM(I84:L84)</f>
        <v>4.193676470588235</v>
      </c>
      <c r="H83" s="332">
        <v>0.3</v>
      </c>
      <c r="I83" s="357">
        <v>2.5049999999999999E-2</v>
      </c>
      <c r="J83" s="379">
        <v>8.9984000000000001E-3</v>
      </c>
      <c r="K83" s="379">
        <v>4.9162499999999998E-2</v>
      </c>
      <c r="L83" s="352">
        <v>2.5875E-3</v>
      </c>
      <c r="M83" s="333"/>
      <c r="N83" s="357">
        <v>3.0499999999999999E-2</v>
      </c>
      <c r="O83" s="357">
        <v>4.8934799999999994E-2</v>
      </c>
      <c r="P83" s="357">
        <v>0.11327999999999999</v>
      </c>
      <c r="Q83" s="418"/>
      <c r="R83" s="419"/>
      <c r="S83" s="369"/>
      <c r="T83" s="369"/>
      <c r="U83" s="335"/>
      <c r="V83" s="336"/>
      <c r="W83" s="156"/>
      <c r="X83" s="156"/>
      <c r="Y83" s="337"/>
    </row>
    <row r="84" spans="1:29" ht="16.5" thickBot="1">
      <c r="A84" s="420"/>
      <c r="B84" s="421"/>
      <c r="C84" s="422"/>
      <c r="D84" s="423"/>
      <c r="E84" s="424"/>
      <c r="F84" s="363"/>
      <c r="G84" s="363"/>
      <c r="H84" s="364"/>
      <c r="I84" s="364">
        <f>I83*1000/20.04</f>
        <v>1.25</v>
      </c>
      <c r="J84" s="364">
        <f>J83*1000/12.16</f>
        <v>0.74</v>
      </c>
      <c r="K84" s="364">
        <f>K83*1000/23</f>
        <v>2.1374999999999997</v>
      </c>
      <c r="L84" s="364">
        <f>L83*1000/39.1</f>
        <v>6.6176470588235295E-2</v>
      </c>
      <c r="M84" s="365"/>
      <c r="N84" s="366">
        <f>N83*1000/61.01</f>
        <v>0.49991804622193087</v>
      </c>
      <c r="O84" s="366">
        <f>O83*1000/35.46</f>
        <v>1.38</v>
      </c>
      <c r="P84" s="364">
        <f>P83*1000/48.03</f>
        <v>2.3585259212991878</v>
      </c>
      <c r="Q84" s="364"/>
      <c r="R84" s="364"/>
      <c r="S84" s="364"/>
      <c r="T84" s="364"/>
      <c r="U84" s="335">
        <f>K84*10/((I84+J84)*10/2)^0.5</f>
        <v>6.7763305541343293</v>
      </c>
      <c r="V84" s="425" t="e">
        <f>S83/(Q83+R83+S83+T83)*100</f>
        <v>#DIV/0!</v>
      </c>
      <c r="W84" s="337">
        <f>SUM(I84:L84)</f>
        <v>4.193676470588235</v>
      </c>
      <c r="X84" s="338">
        <f>SUM(N84:P84)</f>
        <v>4.2384439675211185</v>
      </c>
      <c r="Y84" s="337">
        <f>W84/X84</f>
        <v>0.98943775185517768</v>
      </c>
      <c r="Z84" s="280">
        <f>SUM(I83:P83)</f>
        <v>0.27851320000000002</v>
      </c>
      <c r="AA84" s="45">
        <f>Z84/H83</f>
        <v>0.92837733333333339</v>
      </c>
    </row>
    <row r="85" spans="1:29" ht="15.75">
      <c r="A85" s="326"/>
      <c r="B85" s="327">
        <v>3</v>
      </c>
      <c r="C85" s="377">
        <v>2</v>
      </c>
      <c r="D85" s="314"/>
      <c r="E85" s="355" t="s">
        <v>37</v>
      </c>
      <c r="F85" s="342"/>
      <c r="G85" s="356">
        <f>SUM(I86:L86)</f>
        <v>8.3969411764705875</v>
      </c>
      <c r="H85" s="343">
        <v>0.64500000000000002</v>
      </c>
      <c r="I85" s="343">
        <v>5.4909600000000003E-2</v>
      </c>
      <c r="J85" s="343">
        <v>1.4956800000000001E-2</v>
      </c>
      <c r="K85" s="343">
        <v>9.8761999999999975E-2</v>
      </c>
      <c r="L85" s="344">
        <v>5.1979999999999995E-3</v>
      </c>
      <c r="M85" s="372"/>
      <c r="N85" s="343">
        <v>1.83E-2</v>
      </c>
      <c r="O85" s="343">
        <v>5.9572799999999995E-2</v>
      </c>
      <c r="P85" s="343">
        <v>0.31247999999999998</v>
      </c>
      <c r="Q85" s="345"/>
      <c r="R85" s="345"/>
      <c r="S85" s="345"/>
      <c r="T85" s="345"/>
      <c r="U85" s="324"/>
      <c r="V85" s="374"/>
      <c r="W85" s="156"/>
      <c r="X85" s="156"/>
      <c r="Y85" s="337"/>
    </row>
    <row r="86" spans="1:29" s="35" customFormat="1" ht="15.75">
      <c r="A86" s="346"/>
      <c r="B86" s="347"/>
      <c r="C86" s="94"/>
      <c r="D86" s="375"/>
      <c r="E86" s="349"/>
      <c r="F86" s="350"/>
      <c r="G86" s="281"/>
      <c r="H86" s="332"/>
      <c r="I86" s="351">
        <f>I85*1000/20.04</f>
        <v>2.74</v>
      </c>
      <c r="J86" s="351">
        <f>J85*1000/12.16</f>
        <v>1.23</v>
      </c>
      <c r="K86" s="351">
        <f>K85*1000/23</f>
        <v>4.2939999999999987</v>
      </c>
      <c r="L86" s="351">
        <f>L85*1000/39.1</f>
        <v>0.13294117647058823</v>
      </c>
      <c r="M86" s="91"/>
      <c r="N86" s="352">
        <f>N85*1000/61.01</f>
        <v>0.29995082773315851</v>
      </c>
      <c r="O86" s="352">
        <f>O85*1000/35.46</f>
        <v>1.6799999999999997</v>
      </c>
      <c r="P86" s="351">
        <f>P85*1000/48.03</f>
        <v>6.5059337913803859</v>
      </c>
      <c r="Q86" s="351"/>
      <c r="R86" s="351"/>
      <c r="S86" s="351"/>
      <c r="T86" s="369"/>
      <c r="U86" s="335">
        <f>K86*10/((I86+J86)*10/2)^0.5</f>
        <v>9.6378859895522204</v>
      </c>
      <c r="V86" s="336"/>
      <c r="W86" s="337">
        <f>SUM(I86:L86)</f>
        <v>8.3969411764705875</v>
      </c>
      <c r="X86" s="353">
        <f>SUM(N86:P86)</f>
        <v>8.4858846191135449</v>
      </c>
      <c r="Y86" s="134">
        <f>W86/X86</f>
        <v>0.9895186599117054</v>
      </c>
      <c r="Z86" s="354">
        <f>SUM(I85:P85)</f>
        <v>0.56417919999999999</v>
      </c>
      <c r="AA86" s="35">
        <f>Z86/H85</f>
        <v>0.87469643410852704</v>
      </c>
      <c r="AC86" s="45"/>
    </row>
    <row r="87" spans="1:29" ht="15.75">
      <c r="A87" s="326"/>
      <c r="B87" s="327"/>
      <c r="C87" s="377"/>
      <c r="D87" s="378"/>
      <c r="E87" s="340" t="s">
        <v>586</v>
      </c>
      <c r="F87" s="331"/>
      <c r="G87" s="356">
        <f>SUM(I88:L88)</f>
        <v>5.8704705882352943</v>
      </c>
      <c r="H87" s="379">
        <v>0.46</v>
      </c>
      <c r="I87" s="331">
        <v>6.0119999999999993E-2</v>
      </c>
      <c r="J87" s="331">
        <v>1.2038400000000001E-2</v>
      </c>
      <c r="K87" s="379">
        <v>4.1951999999999996E-2</v>
      </c>
      <c r="L87" s="334">
        <v>2.2079999999999999E-3</v>
      </c>
      <c r="M87" s="333"/>
      <c r="N87" s="379">
        <v>2.1349999999999997E-2</v>
      </c>
      <c r="O87" s="379">
        <v>3.1559400000000001E-2</v>
      </c>
      <c r="P87" s="379">
        <v>0.22416</v>
      </c>
      <c r="Q87" s="332"/>
      <c r="R87" s="332"/>
      <c r="S87" s="332"/>
      <c r="T87" s="332"/>
      <c r="U87" s="335"/>
      <c r="V87" s="336"/>
      <c r="W87" s="156"/>
      <c r="X87" s="156"/>
      <c r="Y87" s="337"/>
    </row>
    <row r="88" spans="1:29" s="35" customFormat="1" ht="15.75">
      <c r="A88" s="346"/>
      <c r="B88" s="347"/>
      <c r="C88" s="94"/>
      <c r="D88" s="375"/>
      <c r="E88" s="349"/>
      <c r="F88" s="350"/>
      <c r="G88" s="350"/>
      <c r="H88" s="332"/>
      <c r="I88" s="351">
        <f>I87*1000/20.04</f>
        <v>2.9999999999999996</v>
      </c>
      <c r="J88" s="351">
        <f>J87*1000/12.16</f>
        <v>0.9900000000000001</v>
      </c>
      <c r="K88" s="351">
        <f>K87*1000/23</f>
        <v>1.8239999999999998</v>
      </c>
      <c r="L88" s="351">
        <f>L87*1000/39.1</f>
        <v>5.6470588235294106E-2</v>
      </c>
      <c r="M88" s="91"/>
      <c r="N88" s="352">
        <f>N87*1000/61.01</f>
        <v>0.34994263235535156</v>
      </c>
      <c r="O88" s="352">
        <f>O87*1000/35.46</f>
        <v>0.89</v>
      </c>
      <c r="P88" s="351">
        <f>P87*1000/48.03</f>
        <v>4.6670830730793256</v>
      </c>
      <c r="Q88" s="351"/>
      <c r="R88" s="351"/>
      <c r="S88" s="351"/>
      <c r="T88" s="369"/>
      <c r="U88" s="335">
        <f>K88*10/((I88+J88)*10/2)^0.5</f>
        <v>4.0836958050975625</v>
      </c>
      <c r="V88" s="336"/>
      <c r="W88" s="337">
        <f>SUM(I88:L88)</f>
        <v>5.8704705882352943</v>
      </c>
      <c r="X88" s="353">
        <f>SUM(N88:P88)</f>
        <v>5.9070257054346769</v>
      </c>
      <c r="Y88" s="134">
        <f>W88/X88</f>
        <v>0.99381158657126711</v>
      </c>
      <c r="Z88" s="354">
        <f>SUM(I87:P87)</f>
        <v>0.39338779999999995</v>
      </c>
      <c r="AA88" s="35">
        <f>Z88/H87</f>
        <v>0.85519086956521728</v>
      </c>
      <c r="AC88" s="45"/>
    </row>
    <row r="89" spans="1:29" ht="15.75">
      <c r="A89" s="326"/>
      <c r="B89" s="327"/>
      <c r="C89" s="377"/>
      <c r="D89" s="378"/>
      <c r="E89" s="355" t="s">
        <v>587</v>
      </c>
      <c r="F89" s="331"/>
      <c r="G89" s="356">
        <f>SUM(I90:L90)</f>
        <v>3.8214999999999999</v>
      </c>
      <c r="H89" s="379">
        <v>0.28499999999999998</v>
      </c>
      <c r="I89" s="331">
        <v>2.5049999999999999E-2</v>
      </c>
      <c r="J89" s="331">
        <v>8.9984000000000001E-3</v>
      </c>
      <c r="K89" s="379">
        <v>4.08595E-2</v>
      </c>
      <c r="L89" s="334">
        <v>2.1505000000000001E-3</v>
      </c>
      <c r="M89" s="333"/>
      <c r="N89" s="379">
        <v>2.6839999999999999E-2</v>
      </c>
      <c r="O89" s="379">
        <v>3.1559400000000001E-2</v>
      </c>
      <c r="P89" s="379">
        <v>0.12143999999999999</v>
      </c>
      <c r="Q89" s="332"/>
      <c r="R89" s="332"/>
      <c r="S89" s="332"/>
      <c r="T89" s="332"/>
      <c r="U89" s="335"/>
      <c r="V89" s="336"/>
      <c r="W89" s="156"/>
      <c r="X89" s="156"/>
      <c r="Y89" s="337"/>
      <c r="Z89" s="35"/>
      <c r="AA89" s="35"/>
    </row>
    <row r="90" spans="1:29" s="35" customFormat="1" ht="15.75">
      <c r="A90" s="346"/>
      <c r="B90" s="347"/>
      <c r="C90" s="94"/>
      <c r="D90" s="375"/>
      <c r="E90" s="349"/>
      <c r="F90" s="350"/>
      <c r="G90" s="331"/>
      <c r="H90" s="332"/>
      <c r="I90" s="351">
        <f>I89*1000/20.04</f>
        <v>1.25</v>
      </c>
      <c r="J90" s="351">
        <f>J89*1000/12.16</f>
        <v>0.74</v>
      </c>
      <c r="K90" s="351">
        <f>K89*1000/23</f>
        <v>1.7765</v>
      </c>
      <c r="L90" s="351">
        <f>L89*1000/39.1</f>
        <v>5.5E-2</v>
      </c>
      <c r="M90" s="91"/>
      <c r="N90" s="352">
        <f>N89*1000/61.01</f>
        <v>0.43992788067529914</v>
      </c>
      <c r="O90" s="352">
        <f>O89*1000/35.46</f>
        <v>0.89</v>
      </c>
      <c r="P90" s="351">
        <f>P89*1000/48.03</f>
        <v>2.5284197376639601</v>
      </c>
      <c r="Q90" s="351"/>
      <c r="R90" s="351"/>
      <c r="S90" s="351"/>
      <c r="T90" s="369"/>
      <c r="U90" s="335">
        <f>K90*10/((I90+J90)*10/2)^0.5</f>
        <v>5.6318836161027548</v>
      </c>
      <c r="V90" s="336"/>
      <c r="W90" s="337">
        <f>SUM(I90:L90)</f>
        <v>3.8214999999999999</v>
      </c>
      <c r="X90" s="353">
        <f>SUM(N90:P90)</f>
        <v>3.8583476183392591</v>
      </c>
      <c r="Y90" s="134">
        <f>W90/X90</f>
        <v>0.99044989669564309</v>
      </c>
      <c r="Z90" s="354">
        <f>SUM(I89:P89)</f>
        <v>0.25689780000000001</v>
      </c>
      <c r="AA90" s="35">
        <f>Z90/H89</f>
        <v>0.90139578947368437</v>
      </c>
      <c r="AC90" s="45"/>
    </row>
    <row r="91" spans="1:29" ht="15.75">
      <c r="A91" s="326"/>
      <c r="B91" s="327"/>
      <c r="C91" s="377"/>
      <c r="D91" s="378"/>
      <c r="E91" s="340" t="s">
        <v>588</v>
      </c>
      <c r="F91" s="331"/>
      <c r="G91" s="356">
        <f>SUM(I92:L92)</f>
        <v>3.4348823529411763</v>
      </c>
      <c r="H91" s="359">
        <v>0.25</v>
      </c>
      <c r="I91" s="359">
        <v>2.5049999999999999E-2</v>
      </c>
      <c r="J91" s="359">
        <v>1.2038400000000001E-2</v>
      </c>
      <c r="K91" s="359">
        <v>2.6656999999999997E-2</v>
      </c>
      <c r="L91" s="360">
        <v>1.403E-3</v>
      </c>
      <c r="M91" s="333"/>
      <c r="N91" s="359">
        <v>2.6839999999999999E-2</v>
      </c>
      <c r="O91" s="359">
        <v>2.8013400000000001E-2</v>
      </c>
      <c r="P91" s="359">
        <v>0.10704</v>
      </c>
      <c r="Q91" s="332"/>
      <c r="R91" s="332"/>
      <c r="S91" s="332"/>
      <c r="T91" s="332"/>
      <c r="U91" s="335"/>
      <c r="V91" s="336"/>
      <c r="W91" s="156"/>
      <c r="X91" s="156"/>
      <c r="Y91" s="337"/>
      <c r="Z91" s="35"/>
      <c r="AA91" s="35"/>
    </row>
    <row r="92" spans="1:29" s="35" customFormat="1" ht="16.5" thickBot="1">
      <c r="A92" s="346"/>
      <c r="B92" s="347"/>
      <c r="C92" s="94"/>
      <c r="D92" s="375"/>
      <c r="E92" s="380"/>
      <c r="F92" s="400"/>
      <c r="G92" s="363"/>
      <c r="H92" s="358"/>
      <c r="I92" s="382">
        <f>I91*1000/20.04</f>
        <v>1.25</v>
      </c>
      <c r="J92" s="382">
        <f>J91*1000/12.16</f>
        <v>0.9900000000000001</v>
      </c>
      <c r="K92" s="382">
        <f>K91*1000/23</f>
        <v>1.1589999999999998</v>
      </c>
      <c r="L92" s="382">
        <f>L91*1000/39.1</f>
        <v>3.5882352941176469E-2</v>
      </c>
      <c r="M92" s="383"/>
      <c r="N92" s="384">
        <f>N91*1000/61.01</f>
        <v>0.43992788067529914</v>
      </c>
      <c r="O92" s="384">
        <f>O91*1000/35.46</f>
        <v>0.79</v>
      </c>
      <c r="P92" s="382">
        <f>P91*1000/48.03</f>
        <v>2.2286071205496563</v>
      </c>
      <c r="Q92" s="382"/>
      <c r="R92" s="382"/>
      <c r="S92" s="382"/>
      <c r="T92" s="401"/>
      <c r="U92" s="335">
        <f>K92*10/((I92+J92)*10/2)^0.5</f>
        <v>3.463174895546405</v>
      </c>
      <c r="V92" s="408"/>
      <c r="W92" s="337">
        <f>SUM(I92:L92)</f>
        <v>3.4348823529411763</v>
      </c>
      <c r="X92" s="353">
        <f>SUM(N92:P92)</f>
        <v>3.4585350012249556</v>
      </c>
      <c r="Y92" s="134">
        <f>W92/X92</f>
        <v>0.99316107881649252</v>
      </c>
      <c r="Z92" s="354">
        <f>SUM(I91:P91)</f>
        <v>0.22704179999999999</v>
      </c>
      <c r="AA92" s="35">
        <f>Z92/H91</f>
        <v>0.90816719999999995</v>
      </c>
      <c r="AC92" s="45"/>
    </row>
    <row r="93" spans="1:29" ht="15.75">
      <c r="A93" s="386"/>
      <c r="B93" s="386">
        <v>2</v>
      </c>
      <c r="C93" s="368">
        <v>2</v>
      </c>
      <c r="D93" s="314"/>
      <c r="E93" s="315" t="s">
        <v>37</v>
      </c>
      <c r="F93" s="316"/>
      <c r="G93" s="356">
        <f>SUM(I94:L94)</f>
        <v>6.1796176470588247</v>
      </c>
      <c r="H93" s="388">
        <v>0.44500000000000001</v>
      </c>
      <c r="I93" s="322">
        <v>5.4909600000000003E-2</v>
      </c>
      <c r="J93" s="387">
        <v>3.0035200000000005E-2</v>
      </c>
      <c r="K93" s="387">
        <v>2.1631499999999998E-2</v>
      </c>
      <c r="L93" s="389">
        <v>1.1385E-3</v>
      </c>
      <c r="M93" s="320"/>
      <c r="N93" s="387">
        <v>2.6839999999999999E-2</v>
      </c>
      <c r="O93" s="387">
        <v>5.2480799999999994E-2</v>
      </c>
      <c r="P93" s="387">
        <v>0.20544000000000001</v>
      </c>
      <c r="Q93" s="426"/>
      <c r="R93" s="427"/>
      <c r="S93" s="322"/>
      <c r="T93" s="322"/>
      <c r="U93" s="324"/>
      <c r="V93" s="325"/>
      <c r="W93" s="156"/>
      <c r="X93" s="156"/>
      <c r="Y93" s="337"/>
      <c r="Z93" s="35"/>
      <c r="AA93" s="35"/>
    </row>
    <row r="94" spans="1:29" s="35" customFormat="1" ht="15.75">
      <c r="A94" s="346"/>
      <c r="B94" s="347"/>
      <c r="C94" s="94"/>
      <c r="D94" s="375"/>
      <c r="E94" s="349"/>
      <c r="F94" s="350"/>
      <c r="G94" s="281"/>
      <c r="H94" s="332"/>
      <c r="I94" s="351">
        <f>I93*1000/20.04</f>
        <v>2.74</v>
      </c>
      <c r="J94" s="351">
        <f>J93*1000/12.16</f>
        <v>2.4700000000000002</v>
      </c>
      <c r="K94" s="351">
        <f>K93*1000/23</f>
        <v>0.9405</v>
      </c>
      <c r="L94" s="351">
        <f>L93*1000/39.1</f>
        <v>2.9117647058823529E-2</v>
      </c>
      <c r="M94" s="91"/>
      <c r="N94" s="352">
        <f>N93*1000/61.01</f>
        <v>0.43992788067529914</v>
      </c>
      <c r="O94" s="352">
        <f>O93*1000/35.46</f>
        <v>1.4799999999999998</v>
      </c>
      <c r="P94" s="351">
        <f>P93*1000/48.03</f>
        <v>4.2773266708307309</v>
      </c>
      <c r="Q94" s="351"/>
      <c r="R94" s="351"/>
      <c r="S94" s="351"/>
      <c r="T94" s="369"/>
      <c r="U94" s="335">
        <f>K94*10/((I94+J94)*10/2)^0.5</f>
        <v>1.8427012738490505</v>
      </c>
      <c r="V94" s="376" t="e">
        <f>S93/(Q93+R93+S93+T93)*100</f>
        <v>#DIV/0!</v>
      </c>
      <c r="W94" s="337">
        <f>SUM(I94:L94)</f>
        <v>6.1796176470588247</v>
      </c>
      <c r="X94" s="353">
        <f>SUM(N94:P94)</f>
        <v>6.1972545515060293</v>
      </c>
      <c r="Y94" s="134">
        <f>W94/X94</f>
        <v>0.99715407777740572</v>
      </c>
      <c r="Z94" s="354">
        <f>SUM(I93:P93)</f>
        <v>0.39247560000000004</v>
      </c>
      <c r="AA94" s="35">
        <f>Z94/H93</f>
        <v>0.88196764044943832</v>
      </c>
      <c r="AC94" s="45"/>
    </row>
    <row r="95" spans="1:29" ht="15.75">
      <c r="A95" s="326"/>
      <c r="B95" s="326"/>
      <c r="C95" s="377"/>
      <c r="D95" s="390"/>
      <c r="E95" s="340" t="s">
        <v>586</v>
      </c>
      <c r="F95" s="331"/>
      <c r="G95" s="356">
        <f>SUM(I96:L96)</f>
        <v>5.5467647058823539</v>
      </c>
      <c r="H95" s="379">
        <v>0.43</v>
      </c>
      <c r="I95" s="356">
        <v>6.4929600000000004E-2</v>
      </c>
      <c r="J95" s="331">
        <v>3.0400000000000002E-3</v>
      </c>
      <c r="K95" s="357">
        <v>4.5885000000000002E-2</v>
      </c>
      <c r="L95" s="352">
        <v>2.4150000000000005E-3</v>
      </c>
      <c r="M95" s="333"/>
      <c r="N95" s="357">
        <v>2.4400000000000002E-2</v>
      </c>
      <c r="O95" s="357">
        <v>3.5105399999999995E-2</v>
      </c>
      <c r="P95" s="357">
        <v>0.2016</v>
      </c>
      <c r="Q95" s="418"/>
      <c r="R95" s="419"/>
      <c r="S95" s="369"/>
      <c r="T95" s="369"/>
      <c r="U95" s="335"/>
      <c r="V95" s="336"/>
      <c r="W95" s="156"/>
      <c r="X95" s="156"/>
      <c r="Y95" s="337"/>
    </row>
    <row r="96" spans="1:29" s="35" customFormat="1" ht="15.75">
      <c r="A96" s="346"/>
      <c r="B96" s="347"/>
      <c r="C96" s="94"/>
      <c r="D96" s="375"/>
      <c r="E96" s="349"/>
      <c r="F96" s="350"/>
      <c r="G96" s="350"/>
      <c r="H96" s="332"/>
      <c r="I96" s="351">
        <f>I95*1000/20.04</f>
        <v>3.2400000000000007</v>
      </c>
      <c r="J96" s="351">
        <f>J95*1000/12.16</f>
        <v>0.25</v>
      </c>
      <c r="K96" s="351">
        <f>K95*1000/23</f>
        <v>1.9950000000000003</v>
      </c>
      <c r="L96" s="351">
        <f>L95*1000/39.1</f>
        <v>6.1764705882352951E-2</v>
      </c>
      <c r="M96" s="91"/>
      <c r="N96" s="352">
        <f>N95*1000/61.01</f>
        <v>0.39993443697754472</v>
      </c>
      <c r="O96" s="352">
        <f>O95*1000/35.46</f>
        <v>0.98999999999999988</v>
      </c>
      <c r="P96" s="351">
        <f>P95*1000/48.03</f>
        <v>4.1973766396002494</v>
      </c>
      <c r="Q96" s="351"/>
      <c r="R96" s="351"/>
      <c r="S96" s="351"/>
      <c r="T96" s="369"/>
      <c r="U96" s="335">
        <f>K96*10/((I96+J96)*10/2)^0.5</f>
        <v>4.7757895880274868</v>
      </c>
      <c r="V96" s="376" t="e">
        <f>S95/(Q95+R95+S95+T95)*100</f>
        <v>#DIV/0!</v>
      </c>
      <c r="W96" s="337">
        <f>SUM(I96:L96)</f>
        <v>5.5467647058823539</v>
      </c>
      <c r="X96" s="353">
        <f>SUM(N96:P96)</f>
        <v>5.5873110765777945</v>
      </c>
      <c r="Y96" s="134">
        <f>W96/X96</f>
        <v>0.99274313347874754</v>
      </c>
      <c r="Z96" s="354">
        <f>SUM(I95:P95)</f>
        <v>0.37737500000000002</v>
      </c>
      <c r="AA96" s="35">
        <f>Z96/H95</f>
        <v>0.87761627906976747</v>
      </c>
      <c r="AC96" s="45"/>
    </row>
    <row r="97" spans="1:29" ht="15.75">
      <c r="A97" s="326"/>
      <c r="B97" s="326"/>
      <c r="C97" s="377"/>
      <c r="D97" s="390"/>
      <c r="E97" s="355" t="s">
        <v>587</v>
      </c>
      <c r="F97" s="331"/>
      <c r="G97" s="356">
        <f>SUM(I98:L98)</f>
        <v>3.307558823529412</v>
      </c>
      <c r="H97" s="379">
        <v>0.23499999999999999</v>
      </c>
      <c r="I97" s="356">
        <v>3.0059999999999996E-2</v>
      </c>
      <c r="J97" s="331">
        <v>8.9984000000000001E-3</v>
      </c>
      <c r="K97" s="357">
        <v>2.3816500000000001E-2</v>
      </c>
      <c r="L97" s="352">
        <v>1.2535000000000003E-3</v>
      </c>
      <c r="M97" s="333"/>
      <c r="N97" s="357">
        <v>3.0499999999999999E-2</v>
      </c>
      <c r="O97" s="357">
        <v>2.4467399999999997E-2</v>
      </c>
      <c r="P97" s="357">
        <v>0.10272000000000001</v>
      </c>
      <c r="Q97" s="418"/>
      <c r="R97" s="419"/>
      <c r="S97" s="369"/>
      <c r="T97" s="369"/>
      <c r="U97" s="335"/>
      <c r="V97" s="336"/>
      <c r="W97" s="156"/>
      <c r="X97" s="156"/>
      <c r="Y97" s="337"/>
    </row>
    <row r="98" spans="1:29" s="35" customFormat="1" ht="15.75">
      <c r="A98" s="346"/>
      <c r="B98" s="347"/>
      <c r="C98" s="94"/>
      <c r="D98" s="375"/>
      <c r="E98" s="349"/>
      <c r="F98" s="350"/>
      <c r="G98" s="331"/>
      <c r="H98" s="332"/>
      <c r="I98" s="351">
        <f>I97*1000/20.04</f>
        <v>1.4999999999999998</v>
      </c>
      <c r="J98" s="351">
        <f>J97*1000/12.16</f>
        <v>0.74</v>
      </c>
      <c r="K98" s="351">
        <f>K97*1000/23</f>
        <v>1.0355000000000001</v>
      </c>
      <c r="L98" s="351">
        <f>L97*1000/39.1</f>
        <v>3.2058823529411772E-2</v>
      </c>
      <c r="M98" s="91"/>
      <c r="N98" s="352">
        <f>N97*1000/61.01</f>
        <v>0.49991804622193087</v>
      </c>
      <c r="O98" s="352">
        <f>O97*1000/35.46</f>
        <v>0.69</v>
      </c>
      <c r="P98" s="351">
        <f>P97*1000/48.03</f>
        <v>2.1386633354153655</v>
      </c>
      <c r="Q98" s="351"/>
      <c r="R98" s="351"/>
      <c r="S98" s="351"/>
      <c r="T98" s="369"/>
      <c r="U98" s="335">
        <f>K98*10/((I98+J98)*10/2)^0.5</f>
        <v>3.0941480624144115</v>
      </c>
      <c r="V98" s="376" t="e">
        <f>S97/(Q97+R97+S97+T97)*100</f>
        <v>#DIV/0!</v>
      </c>
      <c r="W98" s="337">
        <f>SUM(I98:L98)</f>
        <v>3.307558823529412</v>
      </c>
      <c r="X98" s="353">
        <f>SUM(N98:P98)</f>
        <v>3.3285813816372962</v>
      </c>
      <c r="Y98" s="134">
        <f>W98/X98</f>
        <v>0.99368422889587171</v>
      </c>
      <c r="Z98" s="354">
        <f>SUM(I97:P97)</f>
        <v>0.22181580000000001</v>
      </c>
      <c r="AA98" s="35">
        <f>Z98/H97</f>
        <v>0.9438970212765958</v>
      </c>
      <c r="AC98" s="45"/>
    </row>
    <row r="99" spans="1:29" ht="15.75">
      <c r="A99" s="326"/>
      <c r="B99" s="326"/>
      <c r="C99" s="377"/>
      <c r="D99" s="390"/>
      <c r="E99" s="340" t="s">
        <v>588</v>
      </c>
      <c r="F99" s="331"/>
      <c r="G99" s="356">
        <f>SUM(I100:L100)</f>
        <v>2.3327941176470586</v>
      </c>
      <c r="H99" s="379">
        <v>0.21</v>
      </c>
      <c r="I99" s="357">
        <v>3.0059999999999996E-2</v>
      </c>
      <c r="J99" s="357">
        <v>5.9584E-3</v>
      </c>
      <c r="K99" s="357">
        <v>7.6474999999999998E-3</v>
      </c>
      <c r="L99" s="352">
        <v>4.0250000000000003E-4</v>
      </c>
      <c r="M99" s="333"/>
      <c r="N99" s="357">
        <v>2.6839999999999999E-2</v>
      </c>
      <c r="O99" s="357">
        <v>2.8013400000000001E-2</v>
      </c>
      <c r="P99" s="357">
        <v>8.208E-2</v>
      </c>
      <c r="Q99" s="418"/>
      <c r="R99" s="419"/>
      <c r="S99" s="369"/>
      <c r="T99" s="369"/>
      <c r="U99" s="335"/>
      <c r="V99" s="336"/>
      <c r="W99" s="156"/>
      <c r="X99" s="156"/>
      <c r="Y99" s="337"/>
    </row>
    <row r="100" spans="1:29" s="35" customFormat="1" ht="16.5" thickBot="1">
      <c r="A100" s="391"/>
      <c r="B100" s="392"/>
      <c r="C100" s="132"/>
      <c r="D100" s="393"/>
      <c r="E100" s="394"/>
      <c r="F100" s="381"/>
      <c r="G100" s="363"/>
      <c r="H100" s="364"/>
      <c r="I100" s="395">
        <f>I99*1000/20.04</f>
        <v>1.4999999999999998</v>
      </c>
      <c r="J100" s="395">
        <f>J99*1000/12.16</f>
        <v>0.49</v>
      </c>
      <c r="K100" s="395">
        <f>K99*1000/23</f>
        <v>0.33250000000000002</v>
      </c>
      <c r="L100" s="395">
        <f>L99*1000/39.1</f>
        <v>1.0294117647058823E-2</v>
      </c>
      <c r="M100" s="396"/>
      <c r="N100" s="397">
        <f>N99*1000/61.01</f>
        <v>0.43992788067529914</v>
      </c>
      <c r="O100" s="397">
        <f>O99*1000/35.46</f>
        <v>0.79</v>
      </c>
      <c r="P100" s="395">
        <f>P99*1000/48.03</f>
        <v>1.7089319175515303</v>
      </c>
      <c r="Q100" s="395"/>
      <c r="R100" s="395"/>
      <c r="S100" s="395"/>
      <c r="T100" s="428"/>
      <c r="U100" s="335">
        <f>K100*10/((I100+J100)*10/2)^0.5</f>
        <v>1.0540958639764515</v>
      </c>
      <c r="V100" s="425" t="e">
        <f>S99/(Q99+R99+S99+T99)*100</f>
        <v>#DIV/0!</v>
      </c>
      <c r="W100" s="337">
        <f>SUM(I100:L100)</f>
        <v>2.3327941176470586</v>
      </c>
      <c r="X100" s="353">
        <f>SUM(N100:P100)</f>
        <v>2.9388597982268294</v>
      </c>
      <c r="Y100" s="431">
        <f>W100/X100</f>
        <v>0.79377523182785292</v>
      </c>
      <c r="Z100" s="354">
        <f>SUM(I99:P99)</f>
        <v>0.18100179999999999</v>
      </c>
      <c r="AA100" s="35">
        <f>Z100/H99</f>
        <v>0.86191333333333331</v>
      </c>
      <c r="AC100" s="45"/>
    </row>
    <row r="101" spans="1:29" ht="15.75">
      <c r="A101" s="326"/>
      <c r="B101" s="326">
        <v>1</v>
      </c>
      <c r="C101" s="377">
        <v>2</v>
      </c>
      <c r="D101" s="314"/>
      <c r="E101" s="355" t="s">
        <v>37</v>
      </c>
      <c r="F101" s="342"/>
      <c r="G101" s="356">
        <f>SUM(I102:L102)</f>
        <v>9.4726470588235312</v>
      </c>
      <c r="H101" s="343">
        <v>0.67500000000000004</v>
      </c>
      <c r="I101" s="343">
        <v>0.1100196</v>
      </c>
      <c r="J101" s="343">
        <v>2.1036800000000001E-2</v>
      </c>
      <c r="K101" s="343">
        <v>5.0254999999999994E-2</v>
      </c>
      <c r="L101" s="344">
        <v>2.6449999999999998E-3</v>
      </c>
      <c r="M101" s="372"/>
      <c r="N101" s="343">
        <v>2.4400000000000002E-2</v>
      </c>
      <c r="O101" s="343">
        <v>8.0494200000000002E-2</v>
      </c>
      <c r="P101" s="343">
        <v>0.32879999999999998</v>
      </c>
      <c r="Q101" s="345"/>
      <c r="R101" s="345"/>
      <c r="S101" s="345"/>
      <c r="T101" s="345"/>
      <c r="U101" s="324"/>
      <c r="V101" s="374"/>
      <c r="W101" s="156"/>
      <c r="X101" s="156"/>
      <c r="Y101" s="337"/>
      <c r="Z101" s="35"/>
      <c r="AA101" s="35"/>
    </row>
    <row r="102" spans="1:29" ht="15.75">
      <c r="A102" s="326"/>
      <c r="B102" s="327"/>
      <c r="C102" s="328"/>
      <c r="D102" s="405"/>
      <c r="E102" s="330"/>
      <c r="F102" s="331"/>
      <c r="H102" s="332"/>
      <c r="I102" s="332">
        <f>I101*1000/20.04</f>
        <v>5.49</v>
      </c>
      <c r="J102" s="332">
        <f>J101*1000/12.16</f>
        <v>1.7300000000000002</v>
      </c>
      <c r="K102" s="332">
        <f>K101*1000/23</f>
        <v>2.1849999999999996</v>
      </c>
      <c r="L102" s="332">
        <f>L101*1000/39.1</f>
        <v>6.7647058823529393E-2</v>
      </c>
      <c r="M102" s="333"/>
      <c r="N102" s="334">
        <f>N101*1000/61.01</f>
        <v>0.39993443697754472</v>
      </c>
      <c r="O102" s="334">
        <f>O101*1000/35.46</f>
        <v>2.27</v>
      </c>
      <c r="P102" s="332">
        <f>P101*1000/48.03</f>
        <v>6.8457214241099305</v>
      </c>
      <c r="Q102" s="332"/>
      <c r="R102" s="332"/>
      <c r="S102" s="332"/>
      <c r="T102" s="345"/>
      <c r="U102" s="335">
        <f>K102*10/((I102+J102)*10/2)^0.5</f>
        <v>3.6366193091936352</v>
      </c>
      <c r="V102" s="336"/>
      <c r="W102" s="337">
        <f>SUM(I102:L102)</f>
        <v>9.4726470588235312</v>
      </c>
      <c r="X102" s="338">
        <f>SUM(N102:P102)</f>
        <v>9.5156558610874757</v>
      </c>
      <c r="Y102" s="337">
        <f>W102/X102</f>
        <v>0.99548020621050193</v>
      </c>
      <c r="Z102" s="280">
        <f>SUM(I101:P101)</f>
        <v>0.61765059999999994</v>
      </c>
      <c r="AA102" s="45">
        <f>Z102/H101</f>
        <v>0.91503792592592581</v>
      </c>
    </row>
    <row r="103" spans="1:29" ht="15.75">
      <c r="A103" s="326"/>
      <c r="B103" s="326"/>
      <c r="C103" s="377"/>
      <c r="D103" s="378"/>
      <c r="E103" s="340" t="s">
        <v>586</v>
      </c>
      <c r="F103" s="331"/>
      <c r="G103" s="356">
        <f>SUM(I104:L104)</f>
        <v>9.6182647058823534</v>
      </c>
      <c r="H103" s="379">
        <v>0.76</v>
      </c>
      <c r="I103" s="331">
        <v>9.4989599999999993E-2</v>
      </c>
      <c r="J103" s="331">
        <v>1.2038400000000001E-2</v>
      </c>
      <c r="K103" s="379">
        <v>8.6744500000000002E-2</v>
      </c>
      <c r="L103" s="334">
        <v>4.5655000000000001E-3</v>
      </c>
      <c r="M103" s="333"/>
      <c r="N103" s="379">
        <v>2.4400000000000002E-2</v>
      </c>
      <c r="O103" s="379">
        <v>4.8934799999999994E-2</v>
      </c>
      <c r="P103" s="379">
        <v>0.38016</v>
      </c>
      <c r="Q103" s="332"/>
      <c r="R103" s="332"/>
      <c r="S103" s="332"/>
      <c r="T103" s="332"/>
      <c r="U103" s="335"/>
      <c r="V103" s="336"/>
      <c r="W103" s="156"/>
      <c r="X103" s="156"/>
      <c r="Y103" s="337"/>
      <c r="Z103" s="35"/>
      <c r="AA103" s="35"/>
    </row>
    <row r="104" spans="1:29" s="35" customFormat="1" ht="15.75">
      <c r="A104" s="346"/>
      <c r="B104" s="347"/>
      <c r="C104" s="94"/>
      <c r="D104" s="375"/>
      <c r="E104" s="349"/>
      <c r="F104" s="350"/>
      <c r="G104" s="350"/>
      <c r="H104" s="332"/>
      <c r="I104" s="351">
        <f>I103*1000/20.04</f>
        <v>4.74</v>
      </c>
      <c r="J104" s="351">
        <f>J103*1000/12.16</f>
        <v>0.9900000000000001</v>
      </c>
      <c r="K104" s="351">
        <f>K103*1000/23</f>
        <v>3.7715000000000001</v>
      </c>
      <c r="L104" s="351">
        <f>L103*1000/39.1</f>
        <v>0.11676470588235294</v>
      </c>
      <c r="M104" s="91"/>
      <c r="N104" s="352">
        <f>N103*1000/61.01</f>
        <v>0.39993443697754472</v>
      </c>
      <c r="O104" s="352">
        <f>O103*1000/35.46</f>
        <v>1.38</v>
      </c>
      <c r="P104" s="351">
        <f>P103*1000/48.03</f>
        <v>7.9150530918176143</v>
      </c>
      <c r="Q104" s="351"/>
      <c r="R104" s="351"/>
      <c r="S104" s="351"/>
      <c r="T104" s="369"/>
      <c r="U104" s="335">
        <f>K104*10/((I104+J104)*10/2)^0.5</f>
        <v>7.0461486144335703</v>
      </c>
      <c r="V104" s="336"/>
      <c r="W104" s="337">
        <f>SUM(I104:L104)</f>
        <v>9.6182647058823534</v>
      </c>
      <c r="X104" s="353">
        <f>SUM(N104:P104)</f>
        <v>9.6949875287951599</v>
      </c>
      <c r="Y104" s="134">
        <f>W104/X104</f>
        <v>0.99208634124748163</v>
      </c>
      <c r="Z104" s="354">
        <f>SUM(I103:P103)</f>
        <v>0.65183279999999999</v>
      </c>
      <c r="AA104" s="35">
        <f>Z104/H103</f>
        <v>0.85767473684210527</v>
      </c>
      <c r="AC104" s="45"/>
    </row>
    <row r="105" spans="1:29" ht="15.75">
      <c r="A105" s="326"/>
      <c r="B105" s="326"/>
      <c r="C105" s="377"/>
      <c r="D105" s="378"/>
      <c r="E105" s="355" t="s">
        <v>587</v>
      </c>
      <c r="F105" s="331"/>
      <c r="G105" s="356">
        <f>SUM(I106:L106)</f>
        <v>5.2377941176470584</v>
      </c>
      <c r="H105" s="379">
        <v>0.38500000000000001</v>
      </c>
      <c r="I105" s="331">
        <v>4.0079999999999998E-2</v>
      </c>
      <c r="J105" s="331">
        <v>1.4956800000000001E-2</v>
      </c>
      <c r="K105" s="379">
        <v>4.4792499999999992E-2</v>
      </c>
      <c r="L105" s="334">
        <v>2.3575000000000002E-3</v>
      </c>
      <c r="M105" s="333"/>
      <c r="N105" s="379">
        <v>2.1349999999999997E-2</v>
      </c>
      <c r="O105" s="379">
        <v>3.5105399999999995E-2</v>
      </c>
      <c r="P105" s="379">
        <v>0.18912000000000001</v>
      </c>
      <c r="Q105" s="332"/>
      <c r="R105" s="332"/>
      <c r="S105" s="332"/>
      <c r="T105" s="332"/>
      <c r="U105" s="335"/>
      <c r="V105" s="336"/>
      <c r="W105" s="156"/>
      <c r="X105" s="156"/>
      <c r="Y105" s="337"/>
      <c r="Z105" s="35"/>
      <c r="AA105" s="35"/>
    </row>
    <row r="106" spans="1:29" s="35" customFormat="1" ht="15.75">
      <c r="A106" s="346"/>
      <c r="B106" s="347"/>
      <c r="C106" s="94"/>
      <c r="D106" s="375"/>
      <c r="E106" s="349"/>
      <c r="F106" s="350"/>
      <c r="G106" s="331"/>
      <c r="H106" s="332"/>
      <c r="I106" s="351">
        <f>I105*1000/20.04</f>
        <v>2</v>
      </c>
      <c r="J106" s="351">
        <f>J105*1000/12.16</f>
        <v>1.23</v>
      </c>
      <c r="K106" s="351">
        <f>K105*1000/23</f>
        <v>1.9474999999999996</v>
      </c>
      <c r="L106" s="351">
        <f>L105*1000/39.1</f>
        <v>6.0294117647058831E-2</v>
      </c>
      <c r="M106" s="91"/>
      <c r="N106" s="352">
        <f>N105*1000/61.01</f>
        <v>0.34994263235535156</v>
      </c>
      <c r="O106" s="352">
        <f>O105*1000/35.46</f>
        <v>0.98999999999999988</v>
      </c>
      <c r="P106" s="351">
        <f>P105*1000/48.03</f>
        <v>3.9375390381011868</v>
      </c>
      <c r="Q106" s="351"/>
      <c r="R106" s="351"/>
      <c r="S106" s="351"/>
      <c r="T106" s="369"/>
      <c r="U106" s="335">
        <f>K106*10/((I106+J106)*10/2)^0.5</f>
        <v>4.8460869599636167</v>
      </c>
      <c r="V106" s="336"/>
      <c r="W106" s="337">
        <f>SUM(I106:L106)</f>
        <v>5.2377941176470584</v>
      </c>
      <c r="X106" s="353">
        <f>SUM(N106:P106)</f>
        <v>5.2774816704565382</v>
      </c>
      <c r="Y106" s="134">
        <f>W106/X106</f>
        <v>0.99247983123624062</v>
      </c>
      <c r="Z106" s="354">
        <f>SUM(I105:P105)</f>
        <v>0.34776219999999997</v>
      </c>
      <c r="AA106" s="35">
        <f>Z106/H105</f>
        <v>0.9032784415584415</v>
      </c>
      <c r="AC106" s="45"/>
    </row>
    <row r="107" spans="1:29" ht="15.75">
      <c r="A107" s="326"/>
      <c r="B107" s="326"/>
      <c r="C107" s="377"/>
      <c r="D107" s="378"/>
      <c r="E107" s="340" t="s">
        <v>588</v>
      </c>
      <c r="F107" s="331"/>
      <c r="G107" s="356">
        <f>SUM(I108:L108)</f>
        <v>3.6403529411764706</v>
      </c>
      <c r="H107" s="379">
        <v>0.27</v>
      </c>
      <c r="I107" s="379">
        <v>2.0039999999999999E-2</v>
      </c>
      <c r="J107" s="379">
        <v>1.4956800000000001E-2</v>
      </c>
      <c r="K107" s="379">
        <v>3.1463999999999992E-2</v>
      </c>
      <c r="L107" s="334">
        <v>1.6559999999999999E-3</v>
      </c>
      <c r="M107" s="333"/>
      <c r="N107" s="379">
        <v>3.0499999999999999E-2</v>
      </c>
      <c r="O107" s="379">
        <v>3.5105399999999995E-2</v>
      </c>
      <c r="P107" s="379">
        <v>0.10464000000000001</v>
      </c>
      <c r="Q107" s="332"/>
      <c r="R107" s="332"/>
      <c r="S107" s="332"/>
      <c r="T107" s="332"/>
      <c r="U107" s="335"/>
      <c r="V107" s="336"/>
      <c r="W107" s="156"/>
      <c r="X107" s="156"/>
      <c r="Y107" s="337"/>
    </row>
    <row r="108" spans="1:29" s="35" customFormat="1" ht="16.5" thickBot="1">
      <c r="A108" s="346"/>
      <c r="B108" s="347"/>
      <c r="C108" s="94"/>
      <c r="D108" s="375"/>
      <c r="E108" s="380"/>
      <c r="F108" s="400"/>
      <c r="G108" s="363"/>
      <c r="H108" s="358"/>
      <c r="I108" s="382">
        <f>I107*1000/20.04</f>
        <v>1</v>
      </c>
      <c r="J108" s="382">
        <f>J107*1000/12.16</f>
        <v>1.23</v>
      </c>
      <c r="K108" s="382">
        <f>K107*1000/23</f>
        <v>1.3679999999999997</v>
      </c>
      <c r="L108" s="382">
        <f>L107*1000/39.1</f>
        <v>4.2352941176470586E-2</v>
      </c>
      <c r="M108" s="383"/>
      <c r="N108" s="384">
        <f>N107*1000/61.01</f>
        <v>0.49991804622193087</v>
      </c>
      <c r="O108" s="384">
        <f>O107*1000/35.46</f>
        <v>0.98999999999999988</v>
      </c>
      <c r="P108" s="382">
        <f>P107*1000/48.03</f>
        <v>2.1786383510306062</v>
      </c>
      <c r="Q108" s="382"/>
      <c r="R108" s="382"/>
      <c r="S108" s="382"/>
      <c r="T108" s="401"/>
      <c r="U108" s="335">
        <f>K108*10/((I108+J108)*10/2)^0.5</f>
        <v>4.0968367979306812</v>
      </c>
      <c r="V108" s="408"/>
      <c r="W108" s="337">
        <f>SUM(I108:L108)</f>
        <v>3.6403529411764706</v>
      </c>
      <c r="X108" s="353">
        <f>SUM(N108:P108)</f>
        <v>3.6685563972525372</v>
      </c>
      <c r="Y108" s="134">
        <f>W108/X108</f>
        <v>0.99231211053558044</v>
      </c>
      <c r="Z108" s="354">
        <f>SUM(I107:P107)</f>
        <v>0.2383622</v>
      </c>
      <c r="AA108" s="35">
        <f>Z108/H107</f>
        <v>0.88282296296296292</v>
      </c>
      <c r="AC108" s="45"/>
    </row>
    <row r="109" spans="1:29" ht="15.75">
      <c r="A109" s="386"/>
      <c r="B109" s="386">
        <v>1</v>
      </c>
      <c r="C109" s="368">
        <v>3</v>
      </c>
      <c r="D109" s="314"/>
      <c r="E109" s="315" t="s">
        <v>37</v>
      </c>
      <c r="F109" s="316"/>
      <c r="G109" s="356">
        <f>SUM(I110:L110)</f>
        <v>8.9229705882352945</v>
      </c>
      <c r="H109" s="388">
        <v>0.65500000000000003</v>
      </c>
      <c r="I109" s="387">
        <v>8.4969599999999992E-2</v>
      </c>
      <c r="J109" s="387">
        <v>2.3955199999999999E-2</v>
      </c>
      <c r="K109" s="387">
        <v>6.0524500000000002E-2</v>
      </c>
      <c r="L109" s="323">
        <v>3.1855000000000004E-3</v>
      </c>
      <c r="M109" s="320"/>
      <c r="N109" s="387">
        <v>1.83E-2</v>
      </c>
      <c r="O109" s="387">
        <v>7.6948199999999994E-2</v>
      </c>
      <c r="P109" s="387">
        <v>0.31247999999999998</v>
      </c>
      <c r="Q109" s="426"/>
      <c r="R109" s="427"/>
      <c r="S109" s="322"/>
      <c r="T109" s="322"/>
      <c r="U109" s="324"/>
      <c r="V109" s="325"/>
      <c r="W109" s="156"/>
      <c r="X109" s="156"/>
      <c r="Y109" s="337"/>
    </row>
    <row r="110" spans="1:29" s="35" customFormat="1" ht="15.75">
      <c r="A110" s="346"/>
      <c r="B110" s="347"/>
      <c r="C110" s="94"/>
      <c r="D110" s="375"/>
      <c r="E110" s="349"/>
      <c r="F110" s="350"/>
      <c r="G110" s="281"/>
      <c r="H110" s="332"/>
      <c r="I110" s="351">
        <f>I109*1000/20.04</f>
        <v>4.2399999999999993</v>
      </c>
      <c r="J110" s="351">
        <f>J109*1000/12.16</f>
        <v>1.9699999999999998</v>
      </c>
      <c r="K110" s="351">
        <f>K109*1000/23</f>
        <v>2.6315</v>
      </c>
      <c r="L110" s="351">
        <f>L109*1000/39.1</f>
        <v>8.1470588235294114E-2</v>
      </c>
      <c r="M110" s="91"/>
      <c r="N110" s="352">
        <f>N109*1000/61.01</f>
        <v>0.29995082773315851</v>
      </c>
      <c r="O110" s="352">
        <f>O109*1000/35.46</f>
        <v>2.17</v>
      </c>
      <c r="P110" s="351">
        <f>P109*1000/48.03</f>
        <v>6.5059337913803859</v>
      </c>
      <c r="Q110" s="351"/>
      <c r="R110" s="351"/>
      <c r="S110" s="351"/>
      <c r="T110" s="369"/>
      <c r="U110" s="335">
        <f>K110*10/((I110+J110)*10/2)^0.5</f>
        <v>4.7225065842202083</v>
      </c>
      <c r="V110" s="376" t="e">
        <f>S109/(Q109+R109+S109+T109)*100</f>
        <v>#DIV/0!</v>
      </c>
      <c r="W110" s="337">
        <f>SUM(I110:L110)</f>
        <v>8.9229705882352945</v>
      </c>
      <c r="X110" s="353">
        <f>SUM(N110:P110)</f>
        <v>8.9758846191135433</v>
      </c>
      <c r="Y110" s="134">
        <f>W110/X110</f>
        <v>0.9941048673057169</v>
      </c>
      <c r="Z110" s="354">
        <f>SUM(I109:P109)</f>
        <v>0.58036299999999996</v>
      </c>
      <c r="AA110" s="35">
        <f>Z110/H109</f>
        <v>0.88605038167938921</v>
      </c>
      <c r="AC110" s="45"/>
    </row>
    <row r="111" spans="1:29" ht="15.75">
      <c r="A111" s="326"/>
      <c r="B111" s="326"/>
      <c r="C111" s="377"/>
      <c r="D111" s="390"/>
      <c r="E111" s="340" t="s">
        <v>586</v>
      </c>
      <c r="F111" s="331"/>
      <c r="G111" s="356">
        <f>SUM(I112:L112)</f>
        <v>8.1242058823529426</v>
      </c>
      <c r="H111" s="379">
        <v>0.59</v>
      </c>
      <c r="I111" s="331">
        <v>7.4949600000000005E-2</v>
      </c>
      <c r="J111" s="331">
        <v>2.1036800000000001E-2</v>
      </c>
      <c r="K111" s="357">
        <v>5.9213499999999995E-2</v>
      </c>
      <c r="L111" s="332">
        <v>3.1164999999999999E-3</v>
      </c>
      <c r="M111" s="333"/>
      <c r="N111" s="357">
        <v>2.6839999999999999E-2</v>
      </c>
      <c r="O111" s="357">
        <v>6.63102E-2</v>
      </c>
      <c r="P111" s="357">
        <v>0.28176000000000001</v>
      </c>
      <c r="Q111" s="418"/>
      <c r="R111" s="419"/>
      <c r="S111" s="369"/>
      <c r="T111" s="369"/>
      <c r="U111" s="335"/>
      <c r="V111" s="336"/>
      <c r="W111" s="156"/>
      <c r="X111" s="156"/>
      <c r="Y111" s="337"/>
    </row>
    <row r="112" spans="1:29" s="35" customFormat="1" ht="15.75">
      <c r="A112" s="346"/>
      <c r="B112" s="347"/>
      <c r="C112" s="94"/>
      <c r="D112" s="375"/>
      <c r="E112" s="349"/>
      <c r="F112" s="350"/>
      <c r="G112" s="350"/>
      <c r="H112" s="332"/>
      <c r="I112" s="351">
        <f>I111*1000/20.04</f>
        <v>3.74</v>
      </c>
      <c r="J112" s="351">
        <f>J111*1000/12.16</f>
        <v>1.7300000000000002</v>
      </c>
      <c r="K112" s="351">
        <f>K111*1000/23</f>
        <v>2.5745</v>
      </c>
      <c r="L112" s="351">
        <f>L111*1000/39.1</f>
        <v>7.9705882352941168E-2</v>
      </c>
      <c r="M112" s="91"/>
      <c r="N112" s="352">
        <f>N111*1000/61.01</f>
        <v>0.43992788067529914</v>
      </c>
      <c r="O112" s="352">
        <f>O111*1000/35.46</f>
        <v>1.8699999999999999</v>
      </c>
      <c r="P112" s="351">
        <f>P111*1000/48.03</f>
        <v>5.8663335415365392</v>
      </c>
      <c r="Q112" s="351"/>
      <c r="R112" s="351"/>
      <c r="S112" s="351"/>
      <c r="T112" s="369"/>
      <c r="U112" s="335">
        <f>K112*10/((I112+J112)*10/2)^0.5</f>
        <v>4.9228231113600254</v>
      </c>
      <c r="V112" s="376" t="e">
        <f>S111/(Q111+R111+S111+T111)*100</f>
        <v>#DIV/0!</v>
      </c>
      <c r="W112" s="337">
        <f>SUM(I112:L112)</f>
        <v>8.1242058823529426</v>
      </c>
      <c r="X112" s="353">
        <f>SUM(N112:P112)</f>
        <v>8.1762614222118373</v>
      </c>
      <c r="Y112" s="134">
        <f>W112/X112</f>
        <v>0.99363333225653971</v>
      </c>
      <c r="Z112" s="354">
        <f>SUM(I111:P111)</f>
        <v>0.5332266</v>
      </c>
      <c r="AA112" s="35">
        <f>Z112/H111</f>
        <v>0.90377389830508481</v>
      </c>
      <c r="AC112" s="45"/>
    </row>
    <row r="113" spans="1:29" ht="15.75">
      <c r="A113" s="326"/>
      <c r="B113" s="326"/>
      <c r="C113" s="377"/>
      <c r="D113" s="390"/>
      <c r="E113" s="355" t="s">
        <v>587</v>
      </c>
      <c r="F113" s="331"/>
      <c r="G113" s="356">
        <f>SUM(I114:L114)</f>
        <v>7.8631176470588224</v>
      </c>
      <c r="H113" s="379">
        <v>0.58699999999999997</v>
      </c>
      <c r="I113" s="331">
        <v>5.0099999999999999E-2</v>
      </c>
      <c r="J113" s="331">
        <v>1.4956800000000001E-2</v>
      </c>
      <c r="K113" s="357">
        <v>9.2206999999999983E-2</v>
      </c>
      <c r="L113" s="332">
        <v>4.8529999999999997E-3</v>
      </c>
      <c r="M113" s="333"/>
      <c r="N113" s="357">
        <v>2.4400000000000002E-2</v>
      </c>
      <c r="O113" s="357">
        <v>5.9572799999999995E-2</v>
      </c>
      <c r="P113" s="357">
        <v>0.28176000000000001</v>
      </c>
      <c r="Q113" s="418"/>
      <c r="R113" s="419"/>
      <c r="S113" s="369"/>
      <c r="T113" s="369"/>
      <c r="U113" s="335"/>
      <c r="V113" s="336"/>
      <c r="W113" s="156"/>
      <c r="X113" s="156"/>
      <c r="Y113" s="337"/>
      <c r="Z113" s="35"/>
      <c r="AA113" s="35"/>
    </row>
    <row r="114" spans="1:29" s="35" customFormat="1" ht="15.75">
      <c r="A114" s="346"/>
      <c r="B114" s="347"/>
      <c r="C114" s="94"/>
      <c r="D114" s="375"/>
      <c r="E114" s="349"/>
      <c r="F114" s="350"/>
      <c r="G114" s="331"/>
      <c r="H114" s="332"/>
      <c r="I114" s="351">
        <f>I113*1000/20.04</f>
        <v>2.5</v>
      </c>
      <c r="J114" s="351">
        <f>J113*1000/12.16</f>
        <v>1.23</v>
      </c>
      <c r="K114" s="351">
        <f>K113*1000/23</f>
        <v>4.0089999999999995</v>
      </c>
      <c r="L114" s="351">
        <f>L113*1000/39.1</f>
        <v>0.12411764705882351</v>
      </c>
      <c r="M114" s="91"/>
      <c r="N114" s="352">
        <f>N113*1000/61.01</f>
        <v>0.39993443697754472</v>
      </c>
      <c r="O114" s="352">
        <f>O113*1000/35.46</f>
        <v>1.6799999999999997</v>
      </c>
      <c r="P114" s="351">
        <f>P113*1000/48.03</f>
        <v>5.8663335415365392</v>
      </c>
      <c r="Q114" s="351"/>
      <c r="R114" s="351"/>
      <c r="S114" s="351"/>
      <c r="T114" s="369"/>
      <c r="U114" s="335">
        <f>K114*10/((I114+J114)*10/2)^0.5</f>
        <v>9.2831771509589203</v>
      </c>
      <c r="V114" s="376" t="e">
        <f>S113/(Q113+R113+S113+T113)*100</f>
        <v>#DIV/0!</v>
      </c>
      <c r="W114" s="337">
        <f>SUM(I114:L114)</f>
        <v>7.8631176470588224</v>
      </c>
      <c r="X114" s="353">
        <f>SUM(N114:P114)</f>
        <v>7.9462679785140837</v>
      </c>
      <c r="Y114" s="134">
        <f>W114/X114</f>
        <v>0.98953592659093659</v>
      </c>
      <c r="Z114" s="354">
        <f>SUM(I113:P113)</f>
        <v>0.52784959999999992</v>
      </c>
      <c r="AA114" s="35">
        <f>Z114/H113</f>
        <v>0.89923270868824523</v>
      </c>
      <c r="AC114" s="45"/>
    </row>
    <row r="115" spans="1:29" ht="15.75">
      <c r="A115" s="326"/>
      <c r="B115" s="326"/>
      <c r="C115" s="377"/>
      <c r="D115" s="390"/>
      <c r="E115" s="340" t="s">
        <v>588</v>
      </c>
      <c r="F115" s="331"/>
      <c r="G115" s="356">
        <f>SUM(I116:L116)</f>
        <v>4.4441764705882356</v>
      </c>
      <c r="H115" s="379">
        <v>0.32</v>
      </c>
      <c r="I115" s="379">
        <v>4.0079999999999998E-2</v>
      </c>
      <c r="J115" s="379">
        <v>8.9984000000000001E-3</v>
      </c>
      <c r="K115" s="379">
        <v>3.8018999999999997E-2</v>
      </c>
      <c r="L115" s="332">
        <v>2.0010000000000002E-3</v>
      </c>
      <c r="M115" s="333"/>
      <c r="N115" s="379">
        <v>1.83E-2</v>
      </c>
      <c r="O115" s="379">
        <v>5.6026800000000002E-2</v>
      </c>
      <c r="P115" s="379">
        <v>0.12480000000000001</v>
      </c>
      <c r="Q115" s="373"/>
      <c r="R115" s="417"/>
      <c r="S115" s="345"/>
      <c r="T115" s="345"/>
      <c r="U115" s="335"/>
      <c r="V115" s="336"/>
      <c r="W115" s="156"/>
      <c r="X115" s="156"/>
      <c r="Y115" s="337"/>
      <c r="Z115" s="35"/>
      <c r="AA115" s="35"/>
    </row>
    <row r="116" spans="1:29" s="35" customFormat="1" ht="16.5" thickBot="1">
      <c r="A116" s="391"/>
      <c r="B116" s="392"/>
      <c r="C116" s="132"/>
      <c r="D116" s="393"/>
      <c r="E116" s="394"/>
      <c r="F116" s="381"/>
      <c r="G116" s="363"/>
      <c r="H116" s="364"/>
      <c r="I116" s="395">
        <f>I115*1000/20.04</f>
        <v>2</v>
      </c>
      <c r="J116" s="395">
        <f>J115*1000/12.16</f>
        <v>0.74</v>
      </c>
      <c r="K116" s="395">
        <f>K115*1000/23</f>
        <v>1.653</v>
      </c>
      <c r="L116" s="395">
        <f>L115*1000/39.1</f>
        <v>5.1176470588235302E-2</v>
      </c>
      <c r="M116" s="396"/>
      <c r="N116" s="397">
        <f>N115*1000/61.01</f>
        <v>0.29995082773315851</v>
      </c>
      <c r="O116" s="397">
        <f>O115*1000/35.46</f>
        <v>1.58</v>
      </c>
      <c r="P116" s="395">
        <f>P115*1000/48.03</f>
        <v>2.598376014990631</v>
      </c>
      <c r="Q116" s="395"/>
      <c r="R116" s="395"/>
      <c r="S116" s="395"/>
      <c r="T116" s="428"/>
      <c r="U116" s="335">
        <f>K116*10/((I116+J116)*10/2)^0.5</f>
        <v>4.4659367708103428</v>
      </c>
      <c r="V116" s="425" t="e">
        <f>S115/(Q115+R115+S115+T115)*100</f>
        <v>#DIV/0!</v>
      </c>
      <c r="W116" s="337">
        <f>SUM(I116:L116)</f>
        <v>4.4441764705882356</v>
      </c>
      <c r="X116" s="353">
        <f>SUM(N116:P116)</f>
        <v>4.4783268427237894</v>
      </c>
      <c r="Y116" s="134">
        <f>W116/X116</f>
        <v>0.99237430108723756</v>
      </c>
      <c r="Z116" s="354">
        <f>SUM(I115:P115)</f>
        <v>0.28822520000000001</v>
      </c>
      <c r="AA116" s="35">
        <f>Z116/H115</f>
        <v>0.90070375000000003</v>
      </c>
      <c r="AC116" s="45"/>
    </row>
    <row r="117" spans="1:29" ht="15.75">
      <c r="A117" s="326"/>
      <c r="B117" s="326">
        <v>2</v>
      </c>
      <c r="C117" s="377">
        <v>3</v>
      </c>
      <c r="D117" s="314"/>
      <c r="E117" s="355" t="s">
        <v>37</v>
      </c>
      <c r="F117" s="342"/>
      <c r="G117" s="356">
        <f>SUM(I118:L118)</f>
        <v>7.0334117647058836</v>
      </c>
      <c r="H117" s="343">
        <v>0.505</v>
      </c>
      <c r="I117" s="370">
        <v>0.10500959999999999</v>
      </c>
      <c r="J117" s="370">
        <v>1.79968E-2</v>
      </c>
      <c r="K117" s="370">
        <v>6.992E-3</v>
      </c>
      <c r="L117" s="371">
        <v>3.6800000000000005E-4</v>
      </c>
      <c r="M117" s="372"/>
      <c r="N117" s="370">
        <v>1.83E-2</v>
      </c>
      <c r="O117" s="370">
        <v>7.3402199999999987E-2</v>
      </c>
      <c r="P117" s="370">
        <v>0.22416</v>
      </c>
      <c r="Q117" s="345"/>
      <c r="R117" s="345"/>
      <c r="S117" s="345"/>
      <c r="T117" s="345"/>
      <c r="U117" s="324"/>
      <c r="V117" s="374"/>
      <c r="W117" s="156"/>
      <c r="X117" s="156"/>
      <c r="Y117" s="337"/>
      <c r="Z117" s="35"/>
      <c r="AA117" s="35"/>
    </row>
    <row r="118" spans="1:29" ht="15.75">
      <c r="A118" s="326"/>
      <c r="B118" s="327"/>
      <c r="C118" s="328"/>
      <c r="D118" s="405"/>
      <c r="E118" s="330"/>
      <c r="F118" s="331"/>
      <c r="H118" s="332"/>
      <c r="I118" s="332">
        <f>I117*1000/20.04</f>
        <v>5.24</v>
      </c>
      <c r="J118" s="332">
        <f>J117*1000/12.16</f>
        <v>1.48</v>
      </c>
      <c r="K118" s="332">
        <f>K117*1000/23</f>
        <v>0.30399999999999999</v>
      </c>
      <c r="L118" s="332">
        <f>L117*1000/39.1</f>
        <v>9.4117647058823539E-3</v>
      </c>
      <c r="M118" s="333"/>
      <c r="N118" s="334">
        <f>N117*1000/61.01</f>
        <v>0.29995082773315851</v>
      </c>
      <c r="O118" s="334">
        <f>O117*1000/35.46</f>
        <v>2.0699999999999998</v>
      </c>
      <c r="P118" s="332">
        <f>P117*1000/48.03</f>
        <v>4.6670830730793256</v>
      </c>
      <c r="Q118" s="332"/>
      <c r="R118" s="332"/>
      <c r="S118" s="332"/>
      <c r="T118" s="345"/>
      <c r="U118" s="335">
        <f>K118*10/((I118+J118)*10/2)^0.5</f>
        <v>0.52444982510018923</v>
      </c>
      <c r="V118" s="336"/>
      <c r="W118" s="337">
        <f>SUM(I118:L118)</f>
        <v>7.0334117647058836</v>
      </c>
      <c r="X118" s="338">
        <f>SUM(N118:P118)</f>
        <v>7.0370339008124834</v>
      </c>
      <c r="Y118" s="337">
        <f>W118/X118</f>
        <v>0.9994852751659784</v>
      </c>
      <c r="Z118" s="280">
        <f>SUM(I117:P117)</f>
        <v>0.44622859999999998</v>
      </c>
      <c r="AA118" s="45">
        <f>Z118/H117</f>
        <v>0.88362099009900985</v>
      </c>
    </row>
    <row r="119" spans="1:29" ht="15.75">
      <c r="A119" s="326"/>
      <c r="B119" s="326"/>
      <c r="C119" s="377"/>
      <c r="D119" s="378"/>
      <c r="E119" s="340" t="s">
        <v>586</v>
      </c>
      <c r="F119" s="331"/>
      <c r="G119" s="356">
        <f>SUM(I120:L120)</f>
        <v>8.4092352941176483</v>
      </c>
      <c r="H119" s="379">
        <v>0.63</v>
      </c>
      <c r="I119" s="331">
        <v>9.9999599999999994E-2</v>
      </c>
      <c r="J119" s="331">
        <v>1.79968E-2</v>
      </c>
      <c r="K119" s="357">
        <v>4.3262999999999996E-2</v>
      </c>
      <c r="L119" s="352">
        <v>2.2769999999999999E-3</v>
      </c>
      <c r="M119" s="333"/>
      <c r="N119" s="357">
        <v>1.525E-2</v>
      </c>
      <c r="O119" s="357">
        <v>6.3118800000000003E-2</v>
      </c>
      <c r="P119" s="357">
        <v>0.30815999999999999</v>
      </c>
      <c r="Q119" s="332"/>
      <c r="R119" s="332"/>
      <c r="S119" s="332"/>
      <c r="T119" s="332"/>
      <c r="U119" s="335"/>
      <c r="V119" s="336"/>
      <c r="W119" s="156"/>
      <c r="X119" s="156"/>
      <c r="Y119" s="337"/>
    </row>
    <row r="120" spans="1:29" s="35" customFormat="1" ht="15.75">
      <c r="A120" s="346"/>
      <c r="B120" s="347"/>
      <c r="C120" s="94"/>
      <c r="D120" s="375"/>
      <c r="E120" s="349"/>
      <c r="F120" s="350"/>
      <c r="G120" s="350"/>
      <c r="H120" s="332"/>
      <c r="I120" s="351">
        <f>I119*1000/20.04</f>
        <v>4.99</v>
      </c>
      <c r="J120" s="351">
        <f>J119*1000/12.16</f>
        <v>1.48</v>
      </c>
      <c r="K120" s="351">
        <f>K119*1000/23</f>
        <v>1.881</v>
      </c>
      <c r="L120" s="351">
        <f>L119*1000/39.1</f>
        <v>5.8235294117647059E-2</v>
      </c>
      <c r="M120" s="91"/>
      <c r="N120" s="352">
        <f>N119*1000/61.01</f>
        <v>0.24995902311096543</v>
      </c>
      <c r="O120" s="352">
        <f>O119*1000/35.46</f>
        <v>1.78</v>
      </c>
      <c r="P120" s="351">
        <f>P119*1000/48.03</f>
        <v>6.4159900062460951</v>
      </c>
      <c r="Q120" s="351"/>
      <c r="R120" s="351"/>
      <c r="S120" s="351"/>
      <c r="T120" s="369"/>
      <c r="U120" s="335">
        <f>K120*10/((I120+J120)*10/2)^0.5</f>
        <v>3.307132940235316</v>
      </c>
      <c r="V120" s="336"/>
      <c r="W120" s="337">
        <f>SUM(I120:L120)</f>
        <v>8.4092352941176483</v>
      </c>
      <c r="X120" s="353">
        <f>SUM(N120:P120)</f>
        <v>8.4459490293570596</v>
      </c>
      <c r="Y120" s="134">
        <f>W120/X120</f>
        <v>0.99565309533460378</v>
      </c>
      <c r="Z120" s="354">
        <f>SUM(I119:P119)</f>
        <v>0.55006520000000003</v>
      </c>
      <c r="AA120" s="35">
        <f>Z120/H119</f>
        <v>0.87311936507936516</v>
      </c>
      <c r="AC120" s="45"/>
    </row>
    <row r="121" spans="1:29" ht="15.75">
      <c r="A121" s="326"/>
      <c r="B121" s="326"/>
      <c r="C121" s="377"/>
      <c r="D121" s="378"/>
      <c r="E121" s="355" t="s">
        <v>587</v>
      </c>
      <c r="F121" s="331"/>
      <c r="G121" s="356">
        <f>SUM(I122:L122)</f>
        <v>9.0076764705882368</v>
      </c>
      <c r="H121" s="379">
        <v>0.67500000000000004</v>
      </c>
      <c r="I121" s="331">
        <v>0.1150296</v>
      </c>
      <c r="J121" s="331">
        <v>2.1036800000000001E-2</v>
      </c>
      <c r="K121" s="357">
        <v>3.4304500000000002E-2</v>
      </c>
      <c r="L121" s="352">
        <v>1.8055000000000002E-3</v>
      </c>
      <c r="M121" s="333"/>
      <c r="N121" s="357">
        <v>2.6839999999999999E-2</v>
      </c>
      <c r="O121" s="357">
        <v>5.6026800000000002E-2</v>
      </c>
      <c r="P121" s="357">
        <v>0.33695999999999998</v>
      </c>
      <c r="Q121" s="332"/>
      <c r="R121" s="332"/>
      <c r="S121" s="332"/>
      <c r="T121" s="332"/>
      <c r="U121" s="335"/>
      <c r="V121" s="336"/>
      <c r="W121" s="156"/>
      <c r="X121" s="156"/>
      <c r="Y121" s="337"/>
    </row>
    <row r="122" spans="1:29" s="35" customFormat="1" ht="15.75">
      <c r="A122" s="346"/>
      <c r="B122" s="347"/>
      <c r="C122" s="94"/>
      <c r="D122" s="375"/>
      <c r="E122" s="349"/>
      <c r="F122" s="350"/>
      <c r="G122" s="331"/>
      <c r="H122" s="332"/>
      <c r="I122" s="351">
        <f>I121*1000/20.04</f>
        <v>5.74</v>
      </c>
      <c r="J122" s="351">
        <f>J121*1000/12.16</f>
        <v>1.7300000000000002</v>
      </c>
      <c r="K122" s="351">
        <f>K121*1000/23</f>
        <v>1.4915000000000003</v>
      </c>
      <c r="L122" s="351">
        <f>L121*1000/39.1</f>
        <v>4.6176470588235298E-2</v>
      </c>
      <c r="M122" s="91"/>
      <c r="N122" s="352">
        <f>N121*1000/61.01</f>
        <v>0.43992788067529914</v>
      </c>
      <c r="O122" s="352">
        <f>O121*1000/35.46</f>
        <v>1.58</v>
      </c>
      <c r="P122" s="351">
        <f>P121*1000/48.03</f>
        <v>7.0156152404747028</v>
      </c>
      <c r="Q122" s="351"/>
      <c r="R122" s="351"/>
      <c r="S122" s="351"/>
      <c r="T122" s="369"/>
      <c r="U122" s="335">
        <f>K122*10/((I122+J122)*10/2)^0.5</f>
        <v>2.4404951820483221</v>
      </c>
      <c r="V122" s="336"/>
      <c r="W122" s="337">
        <f>SUM(I122:L122)</f>
        <v>9.0076764705882368</v>
      </c>
      <c r="X122" s="353">
        <f>SUM(N122:P122)</f>
        <v>9.0355431211500026</v>
      </c>
      <c r="Y122" s="134">
        <f>W122/X122</f>
        <v>0.99691588538861198</v>
      </c>
      <c r="Z122" s="354">
        <f>SUM(I121:P121)</f>
        <v>0.59200319999999995</v>
      </c>
      <c r="AA122" s="35">
        <f>Z122/H121</f>
        <v>0.8770417777777777</v>
      </c>
      <c r="AC122" s="45"/>
    </row>
    <row r="123" spans="1:29" ht="15.75">
      <c r="A123" s="326"/>
      <c r="B123" s="326"/>
      <c r="C123" s="377"/>
      <c r="D123" s="378"/>
      <c r="E123" s="340" t="s">
        <v>588</v>
      </c>
      <c r="F123" s="331"/>
      <c r="G123" s="356">
        <f>SUM(I124:L124)</f>
        <v>4.7524411764705885</v>
      </c>
      <c r="H123" s="379">
        <v>0.35</v>
      </c>
      <c r="I123" s="357">
        <v>3.5069999999999997E-2</v>
      </c>
      <c r="J123" s="357">
        <v>8.9984000000000001E-3</v>
      </c>
      <c r="K123" s="357">
        <v>5.0473500000000004E-2</v>
      </c>
      <c r="L123" s="352">
        <v>2.6565000000000004E-3</v>
      </c>
      <c r="M123" s="333"/>
      <c r="N123" s="357">
        <v>1.83E-2</v>
      </c>
      <c r="O123" s="357">
        <v>6.9856199999999993E-2</v>
      </c>
      <c r="P123" s="357">
        <v>0.12143999999999999</v>
      </c>
      <c r="Q123" s="332"/>
      <c r="R123" s="332"/>
      <c r="S123" s="332"/>
      <c r="T123" s="332"/>
      <c r="U123" s="335"/>
      <c r="V123" s="336"/>
      <c r="W123" s="156"/>
      <c r="X123" s="156"/>
      <c r="Y123" s="337"/>
    </row>
    <row r="124" spans="1:29" s="35" customFormat="1" ht="16.5" thickBot="1">
      <c r="A124" s="346"/>
      <c r="B124" s="347"/>
      <c r="C124" s="94"/>
      <c r="D124" s="375"/>
      <c r="E124" s="380"/>
      <c r="F124" s="400"/>
      <c r="G124" s="363"/>
      <c r="H124" s="358"/>
      <c r="I124" s="382">
        <f>I123*1000/20.04</f>
        <v>1.75</v>
      </c>
      <c r="J124" s="382">
        <f>J123*1000/12.16</f>
        <v>0.74</v>
      </c>
      <c r="K124" s="382">
        <f>K123*1000/23</f>
        <v>2.1945000000000001</v>
      </c>
      <c r="L124" s="382">
        <f>L123*1000/39.1</f>
        <v>6.7941176470588241E-2</v>
      </c>
      <c r="M124" s="383"/>
      <c r="N124" s="384">
        <f>N123*1000/61.01</f>
        <v>0.29995082773315851</v>
      </c>
      <c r="O124" s="384">
        <f>O123*1000/35.46</f>
        <v>1.9699999999999995</v>
      </c>
      <c r="P124" s="382">
        <f>P123*1000/48.03</f>
        <v>2.5284197376639601</v>
      </c>
      <c r="Q124" s="382"/>
      <c r="R124" s="382"/>
      <c r="S124" s="382"/>
      <c r="T124" s="401"/>
      <c r="U124" s="335">
        <f>K124*10/((I124+J124)*10/2)^0.5</f>
        <v>6.2194346583817017</v>
      </c>
      <c r="V124" s="408"/>
      <c r="W124" s="337">
        <f>SUM(I124:L124)</f>
        <v>4.7524411764705885</v>
      </c>
      <c r="X124" s="353">
        <f>SUM(N124:P124)</f>
        <v>4.7983705653971178</v>
      </c>
      <c r="Y124" s="134">
        <f>W124/X124</f>
        <v>0.99042812798624935</v>
      </c>
      <c r="Z124" s="354">
        <f>SUM(I123:P123)</f>
        <v>0.30679459999999997</v>
      </c>
      <c r="AA124" s="35">
        <f>Z124/H123</f>
        <v>0.876556</v>
      </c>
      <c r="AC124" s="45"/>
    </row>
    <row r="125" spans="1:29" ht="15.75">
      <c r="A125" s="386"/>
      <c r="B125" s="386">
        <v>3</v>
      </c>
      <c r="C125" s="368">
        <v>3</v>
      </c>
      <c r="D125" s="314"/>
      <c r="E125" s="315" t="s">
        <v>37</v>
      </c>
      <c r="F125" s="316"/>
      <c r="G125" s="356">
        <f>SUM(I126:L126)</f>
        <v>4.0580588235294117</v>
      </c>
      <c r="H125" s="388">
        <v>0.29499999999999998</v>
      </c>
      <c r="I125" s="388">
        <v>6.4929600000000004E-2</v>
      </c>
      <c r="J125" s="388">
        <v>3.0400000000000002E-3</v>
      </c>
      <c r="K125" s="388">
        <v>1.2672999999999999E-2</v>
      </c>
      <c r="L125" s="415">
        <v>6.6700000000000006E-4</v>
      </c>
      <c r="M125" s="320"/>
      <c r="N125" s="388">
        <v>2.1349999999999997E-2</v>
      </c>
      <c r="O125" s="388">
        <v>5.6026800000000002E-2</v>
      </c>
      <c r="P125" s="388">
        <v>0.10272000000000001</v>
      </c>
      <c r="Q125" s="323"/>
      <c r="R125" s="323"/>
      <c r="S125" s="323"/>
      <c r="T125" s="323"/>
      <c r="U125" s="324"/>
      <c r="V125" s="325"/>
      <c r="W125" s="156"/>
      <c r="X125" s="156"/>
      <c r="Y125" s="337"/>
      <c r="Z125" s="35"/>
      <c r="AA125" s="35"/>
    </row>
    <row r="126" spans="1:29" s="35" customFormat="1" ht="15.75">
      <c r="A126" s="346"/>
      <c r="B126" s="347"/>
      <c r="C126" s="94"/>
      <c r="D126" s="375"/>
      <c r="E126" s="349"/>
      <c r="F126" s="350"/>
      <c r="G126" s="281"/>
      <c r="H126" s="332"/>
      <c r="I126" s="351">
        <f>I125*1000/20.04</f>
        <v>3.2400000000000007</v>
      </c>
      <c r="J126" s="351">
        <f>J125*1000/12.16</f>
        <v>0.25</v>
      </c>
      <c r="K126" s="351">
        <f>K125*1000/23</f>
        <v>0.55099999999999993</v>
      </c>
      <c r="L126" s="351">
        <f>L125*1000/39.1</f>
        <v>1.7058823529411765E-2</v>
      </c>
      <c r="M126" s="91"/>
      <c r="N126" s="352">
        <f>N125*1000/61.01</f>
        <v>0.34994263235535156</v>
      </c>
      <c r="O126" s="352">
        <f>O125*1000/35.46</f>
        <v>1.58</v>
      </c>
      <c r="P126" s="351">
        <f>P125*1000/48.03</f>
        <v>2.1386633354153655</v>
      </c>
      <c r="Q126" s="351"/>
      <c r="R126" s="351"/>
      <c r="S126" s="351"/>
      <c r="T126" s="369"/>
      <c r="U126" s="335">
        <f>K126*10/((I126+J126)*10/2)^0.5</f>
        <v>1.3190276005028294</v>
      </c>
      <c r="V126" s="336"/>
      <c r="W126" s="337">
        <f>SUM(I126:L126)</f>
        <v>4.0580588235294117</v>
      </c>
      <c r="X126" s="353">
        <f>SUM(N126:P126)</f>
        <v>4.0686059677707167</v>
      </c>
      <c r="Y126" s="134">
        <f>W126/X126</f>
        <v>0.99740767616110926</v>
      </c>
      <c r="Z126" s="354">
        <f>SUM(I125:P125)</f>
        <v>0.26140640000000004</v>
      </c>
      <c r="AA126" s="35">
        <f>Z126/H125</f>
        <v>0.88612338983050865</v>
      </c>
      <c r="AC126" s="45"/>
    </row>
    <row r="127" spans="1:29" ht="15.75">
      <c r="A127" s="326"/>
      <c r="B127" s="326"/>
      <c r="C127" s="377"/>
      <c r="D127" s="378"/>
      <c r="E127" s="340" t="s">
        <v>586</v>
      </c>
      <c r="F127" s="331"/>
      <c r="G127" s="356">
        <f>SUM(I128:L128)</f>
        <v>7.6744705882352928</v>
      </c>
      <c r="H127" s="379">
        <v>0.56000000000000005</v>
      </c>
      <c r="I127" s="331">
        <v>8.9979599999999993E-2</v>
      </c>
      <c r="J127" s="331">
        <v>2.3955199999999999E-2</v>
      </c>
      <c r="K127" s="379">
        <v>2.7094E-2</v>
      </c>
      <c r="L127" s="334">
        <v>1.4260000000000002E-3</v>
      </c>
      <c r="M127" s="333"/>
      <c r="N127" s="379">
        <v>2.1349999999999997E-2</v>
      </c>
      <c r="O127" s="379">
        <v>5.2480799999999994E-2</v>
      </c>
      <c r="P127" s="379">
        <v>0.28176000000000001</v>
      </c>
      <c r="Q127" s="332"/>
      <c r="R127" s="332"/>
      <c r="S127" s="332"/>
      <c r="T127" s="332"/>
      <c r="U127" s="335"/>
      <c r="V127" s="336"/>
      <c r="W127" s="156"/>
      <c r="X127" s="156"/>
      <c r="Y127" s="337"/>
      <c r="Z127" s="35"/>
      <c r="AA127" s="35"/>
    </row>
    <row r="128" spans="1:29" s="35" customFormat="1" ht="15.75">
      <c r="A128" s="346"/>
      <c r="B128" s="347"/>
      <c r="C128" s="94"/>
      <c r="D128" s="375"/>
      <c r="E128" s="349"/>
      <c r="F128" s="350"/>
      <c r="G128" s="350"/>
      <c r="H128" s="332"/>
      <c r="I128" s="351">
        <f>I127*1000/20.04</f>
        <v>4.4899999999999993</v>
      </c>
      <c r="J128" s="351">
        <f>J127*1000/12.16</f>
        <v>1.9699999999999998</v>
      </c>
      <c r="K128" s="351">
        <f>K127*1000/23</f>
        <v>1.1780000000000002</v>
      </c>
      <c r="L128" s="351">
        <f>L127*1000/39.1</f>
        <v>3.6470588235294123E-2</v>
      </c>
      <c r="M128" s="91"/>
      <c r="N128" s="352">
        <f>N127*1000/61.01</f>
        <v>0.34994263235535156</v>
      </c>
      <c r="O128" s="352">
        <f>O127*1000/35.46</f>
        <v>1.4799999999999998</v>
      </c>
      <c r="P128" s="351">
        <f>P127*1000/48.03</f>
        <v>5.8663335415365392</v>
      </c>
      <c r="Q128" s="351"/>
      <c r="R128" s="351"/>
      <c r="S128" s="351"/>
      <c r="T128" s="369"/>
      <c r="U128" s="335">
        <f>K128*10/((I128+J128)*10/2)^0.5</f>
        <v>2.0727361853640822</v>
      </c>
      <c r="V128" s="336"/>
      <c r="W128" s="337">
        <f>SUM(I128:L128)</f>
        <v>7.6744705882352928</v>
      </c>
      <c r="X128" s="353">
        <f>SUM(N128:P128)</f>
        <v>7.6962761738918903</v>
      </c>
      <c r="Y128" s="134">
        <f>W128/X128</f>
        <v>0.99716673555315383</v>
      </c>
      <c r="Z128" s="354">
        <f>SUM(I127:P127)</f>
        <v>0.49804559999999998</v>
      </c>
      <c r="AA128" s="35">
        <f>Z128/H127</f>
        <v>0.88936714285714269</v>
      </c>
      <c r="AC128" s="45"/>
    </row>
    <row r="129" spans="1:29" ht="15.75">
      <c r="A129" s="326"/>
      <c r="B129" s="326"/>
      <c r="C129" s="377"/>
      <c r="D129" s="378"/>
      <c r="E129" s="355" t="s">
        <v>587</v>
      </c>
      <c r="F129" s="331"/>
      <c r="G129" s="356">
        <f>SUM(I130:L130)</f>
        <v>5.3797647058823523</v>
      </c>
      <c r="H129" s="379">
        <v>0.40500000000000003</v>
      </c>
      <c r="I129" s="331">
        <v>5.4909600000000003E-2</v>
      </c>
      <c r="J129" s="331">
        <v>3.0400000000000002E-3</v>
      </c>
      <c r="K129" s="379">
        <v>5.3313999999999993E-2</v>
      </c>
      <c r="L129" s="334">
        <v>2.8059999999999999E-3</v>
      </c>
      <c r="M129" s="333"/>
      <c r="N129" s="379">
        <v>2.4400000000000002E-2</v>
      </c>
      <c r="O129" s="379">
        <v>4.1842799999999999E-2</v>
      </c>
      <c r="P129" s="379">
        <v>0.18480000000000002</v>
      </c>
      <c r="Q129" s="332"/>
      <c r="R129" s="332"/>
      <c r="S129" s="332"/>
      <c r="T129" s="332"/>
      <c r="U129" s="335"/>
      <c r="V129" s="336"/>
      <c r="W129" s="156"/>
      <c r="X129" s="156"/>
      <c r="Y129" s="337"/>
      <c r="Z129" s="35"/>
      <c r="AA129" s="35"/>
    </row>
    <row r="130" spans="1:29" s="35" customFormat="1" ht="15.75">
      <c r="A130" s="346"/>
      <c r="B130" s="347"/>
      <c r="C130" s="94"/>
      <c r="D130" s="375"/>
      <c r="E130" s="349"/>
      <c r="F130" s="350"/>
      <c r="G130" s="331"/>
      <c r="H130" s="332"/>
      <c r="I130" s="351">
        <f>I129*1000/20.04</f>
        <v>2.74</v>
      </c>
      <c r="J130" s="351">
        <f>J129*1000/12.16</f>
        <v>0.25</v>
      </c>
      <c r="K130" s="351">
        <f>K129*1000/23</f>
        <v>2.3179999999999996</v>
      </c>
      <c r="L130" s="351">
        <f>L129*1000/39.1</f>
        <v>7.1764705882352939E-2</v>
      </c>
      <c r="M130" s="91"/>
      <c r="N130" s="352">
        <f>N129*1000/61.01</f>
        <v>0.39993443697754472</v>
      </c>
      <c r="O130" s="352">
        <f>O129*1000/35.46</f>
        <v>1.18</v>
      </c>
      <c r="P130" s="351">
        <f>P129*1000/48.03</f>
        <v>3.847595252966896</v>
      </c>
      <c r="Q130" s="351"/>
      <c r="R130" s="351"/>
      <c r="S130" s="351"/>
      <c r="T130" s="369"/>
      <c r="U130" s="335">
        <f>K130*10/((I130+J130)*10/2)^0.5</f>
        <v>5.9950503552965921</v>
      </c>
      <c r="V130" s="336"/>
      <c r="W130" s="337">
        <f>SUM(I130:L130)</f>
        <v>5.3797647058823523</v>
      </c>
      <c r="X130" s="353">
        <f>SUM(N130:P130)</f>
        <v>5.427529689944441</v>
      </c>
      <c r="Y130" s="134">
        <f>W130/X130</f>
        <v>0.9911994983370459</v>
      </c>
      <c r="Z130" s="354">
        <f>SUM(I129:P129)</f>
        <v>0.3651124</v>
      </c>
      <c r="AA130" s="35">
        <f>Z130/H129</f>
        <v>0.90151209876543204</v>
      </c>
      <c r="AC130" s="45"/>
    </row>
    <row r="131" spans="1:29" ht="15.75">
      <c r="A131" s="326"/>
      <c r="B131" s="326"/>
      <c r="C131" s="377"/>
      <c r="D131" s="378"/>
      <c r="E131" s="340" t="s">
        <v>588</v>
      </c>
      <c r="F131" s="331"/>
      <c r="G131" s="356">
        <f>SUM(I132:L132)</f>
        <v>4.9493235294117648</v>
      </c>
      <c r="H131" s="379">
        <v>0.36</v>
      </c>
      <c r="I131" s="379">
        <v>5.0099999999999999E-2</v>
      </c>
      <c r="J131" s="379">
        <v>1.2038400000000001E-2</v>
      </c>
      <c r="K131" s="379">
        <v>3.2556500000000002E-2</v>
      </c>
      <c r="L131" s="334">
        <v>1.7135000000000002E-3</v>
      </c>
      <c r="M131" s="333"/>
      <c r="N131" s="379">
        <v>2.6839999999999999E-2</v>
      </c>
      <c r="O131" s="379">
        <v>3.7942200000000002E-2</v>
      </c>
      <c r="P131" s="379">
        <v>0.16656000000000001</v>
      </c>
      <c r="Q131" s="332"/>
      <c r="R131" s="332"/>
      <c r="S131" s="332"/>
      <c r="T131" s="332"/>
      <c r="U131" s="335"/>
      <c r="V131" s="336"/>
      <c r="W131" s="156"/>
      <c r="X131" s="156"/>
      <c r="Y131" s="337"/>
    </row>
    <row r="132" spans="1:29" s="35" customFormat="1" ht="16.5" thickBot="1">
      <c r="A132" s="346"/>
      <c r="B132" s="347"/>
      <c r="C132" s="94"/>
      <c r="D132" s="375"/>
      <c r="E132" s="349"/>
      <c r="F132" s="350"/>
      <c r="G132" s="363"/>
      <c r="H132" s="332"/>
      <c r="I132" s="351">
        <f>I131*1000/20.04</f>
        <v>2.5</v>
      </c>
      <c r="J132" s="351">
        <f>J131*1000/12.16</f>
        <v>0.9900000000000001</v>
      </c>
      <c r="K132" s="351">
        <f>K131*1000/23</f>
        <v>1.4155</v>
      </c>
      <c r="L132" s="351">
        <f>L131*1000/39.1</f>
        <v>4.3823529411764713E-2</v>
      </c>
      <c r="M132" s="91"/>
      <c r="N132" s="352">
        <f>N131*1000/61.01</f>
        <v>0.43992788067529914</v>
      </c>
      <c r="O132" s="352">
        <f>O131*1000/35.46</f>
        <v>1.07</v>
      </c>
      <c r="P132" s="351">
        <f>P131*1000/48.03</f>
        <v>3.4678326046221111</v>
      </c>
      <c r="Q132" s="351"/>
      <c r="R132" s="351"/>
      <c r="S132" s="351"/>
      <c r="T132" s="369"/>
      <c r="U132" s="335">
        <f>K132*10/((I132+J132)*10/2)^0.5</f>
        <v>3.3885364219814065</v>
      </c>
      <c r="V132" s="336"/>
      <c r="W132" s="337">
        <f>SUM(I132:L132)</f>
        <v>4.9493235294117648</v>
      </c>
      <c r="X132" s="353">
        <f>SUM(N132:P132)</f>
        <v>4.9777604852974102</v>
      </c>
      <c r="Y132" s="134">
        <f>W132/X132</f>
        <v>0.99428719883778294</v>
      </c>
      <c r="Z132" s="354">
        <f>SUM(I131:P131)</f>
        <v>0.3277506</v>
      </c>
      <c r="AA132" s="35">
        <f>Z132/H131</f>
        <v>0.91041833333333333</v>
      </c>
      <c r="AC132" s="45"/>
    </row>
    <row r="133" spans="1:29" ht="15.75">
      <c r="A133" s="386"/>
      <c r="B133" s="386">
        <v>4</v>
      </c>
      <c r="C133" s="368">
        <v>3</v>
      </c>
      <c r="D133" s="314"/>
      <c r="E133" s="355" t="s">
        <v>37</v>
      </c>
      <c r="F133" s="342"/>
      <c r="G133" s="356">
        <f>SUM(I134:L134)</f>
        <v>8.9136764705882339</v>
      </c>
      <c r="H133" s="379">
        <v>0.65</v>
      </c>
      <c r="I133" s="357">
        <v>8.9979599999999993E-2</v>
      </c>
      <c r="J133" s="357">
        <v>2.6995200000000004E-2</v>
      </c>
      <c r="K133" s="357">
        <v>4.9162499999999998E-2</v>
      </c>
      <c r="L133" s="352">
        <v>2.5875E-3</v>
      </c>
      <c r="M133" s="372"/>
      <c r="N133" s="357">
        <v>2.6839999999999999E-2</v>
      </c>
      <c r="O133" s="357">
        <v>5.6026800000000002E-2</v>
      </c>
      <c r="P133" s="357">
        <v>0.33312000000000003</v>
      </c>
      <c r="Q133" s="345"/>
      <c r="R133" s="345"/>
      <c r="S133" s="345"/>
      <c r="T133" s="345"/>
      <c r="U133" s="324"/>
      <c r="V133" s="336"/>
      <c r="W133" s="156"/>
      <c r="X133" s="156"/>
      <c r="Y133" s="337"/>
    </row>
    <row r="134" spans="1:29" s="35" customFormat="1" ht="15.75">
      <c r="A134" s="346"/>
      <c r="B134" s="347"/>
      <c r="C134" s="94"/>
      <c r="D134" s="375"/>
      <c r="E134" s="349"/>
      <c r="F134" s="350"/>
      <c r="G134" s="281"/>
      <c r="H134" s="332"/>
      <c r="I134" s="351">
        <f>I133*1000/20.04</f>
        <v>4.4899999999999993</v>
      </c>
      <c r="J134" s="351">
        <f>J133*1000/12.16</f>
        <v>2.2200000000000002</v>
      </c>
      <c r="K134" s="351">
        <f>K133*1000/23</f>
        <v>2.1374999999999997</v>
      </c>
      <c r="L134" s="351">
        <f>L133*1000/39.1</f>
        <v>6.6176470588235295E-2</v>
      </c>
      <c r="M134" s="91"/>
      <c r="N134" s="352">
        <f>N133*1000/61.01</f>
        <v>0.43992788067529914</v>
      </c>
      <c r="O134" s="352">
        <f>O133*1000/35.46</f>
        <v>1.58</v>
      </c>
      <c r="P134" s="351">
        <f>P133*1000/48.03</f>
        <v>6.9356652092442221</v>
      </c>
      <c r="Q134" s="351"/>
      <c r="R134" s="351"/>
      <c r="S134" s="351"/>
      <c r="T134" s="369"/>
      <c r="U134" s="335">
        <f>K134*10/((I134+J134)*10/2)^0.5</f>
        <v>3.6902846024519418</v>
      </c>
      <c r="V134" s="336"/>
      <c r="W134" s="337">
        <f>SUM(I134:L134)</f>
        <v>8.9136764705882339</v>
      </c>
      <c r="X134" s="353">
        <f>SUM(N134:P134)</f>
        <v>8.9555930899195211</v>
      </c>
      <c r="Y134" s="134">
        <f>W134/X134</f>
        <v>0.99531950381058865</v>
      </c>
      <c r="Z134" s="354">
        <f>SUM(I133:P133)</f>
        <v>0.5847116</v>
      </c>
      <c r="AA134" s="35">
        <f>Z134/H133</f>
        <v>0.89955630769230766</v>
      </c>
      <c r="AC134" s="45"/>
    </row>
    <row r="135" spans="1:29" ht="15.75">
      <c r="A135" s="326"/>
      <c r="B135" s="326"/>
      <c r="C135" s="377"/>
      <c r="D135" s="378"/>
      <c r="E135" s="340" t="s">
        <v>586</v>
      </c>
      <c r="F135" s="331"/>
      <c r="G135" s="356">
        <f>SUM(I136:L136)</f>
        <v>9.1667352941176468</v>
      </c>
      <c r="H135" s="379">
        <v>0.72499999999999998</v>
      </c>
      <c r="I135" s="331">
        <v>7.4949600000000005E-2</v>
      </c>
      <c r="J135" s="357">
        <v>1.2038400000000001E-2</v>
      </c>
      <c r="K135" s="357">
        <v>9.8980499999999999E-2</v>
      </c>
      <c r="L135" s="352">
        <v>5.2095000000000006E-3</v>
      </c>
      <c r="M135" s="333"/>
      <c r="N135" s="357">
        <v>2.4400000000000002E-2</v>
      </c>
      <c r="O135" s="357">
        <v>4.53888E-2</v>
      </c>
      <c r="P135" s="357">
        <v>0.36384</v>
      </c>
      <c r="Q135" s="332"/>
      <c r="R135" s="332"/>
      <c r="S135" s="332"/>
      <c r="T135" s="332"/>
      <c r="U135" s="335"/>
      <c r="V135" s="336"/>
      <c r="W135" s="156"/>
      <c r="X135" s="156"/>
      <c r="Y135" s="337"/>
    </row>
    <row r="136" spans="1:29" s="35" customFormat="1" ht="15.75">
      <c r="A136" s="346"/>
      <c r="B136" s="347"/>
      <c r="C136" s="94"/>
      <c r="D136" s="375"/>
      <c r="E136" s="349"/>
      <c r="F136" s="350"/>
      <c r="G136" s="350"/>
      <c r="H136" s="332"/>
      <c r="I136" s="351">
        <f>I135*1000/20.04</f>
        <v>3.74</v>
      </c>
      <c r="J136" s="351">
        <f>J135*1000/12.16</f>
        <v>0.9900000000000001</v>
      </c>
      <c r="K136" s="351">
        <f>K135*1000/23</f>
        <v>4.3034999999999997</v>
      </c>
      <c r="L136" s="351">
        <f>L135*1000/39.1</f>
        <v>0.13323529411764706</v>
      </c>
      <c r="M136" s="91"/>
      <c r="N136" s="352">
        <f>N135*1000/61.01</f>
        <v>0.39993443697754472</v>
      </c>
      <c r="O136" s="352">
        <f>O135*1000/35.46</f>
        <v>1.28</v>
      </c>
      <c r="P136" s="351">
        <f>P135*1000/48.03</f>
        <v>7.5752654590880697</v>
      </c>
      <c r="Q136" s="351"/>
      <c r="R136" s="351"/>
      <c r="S136" s="351"/>
      <c r="T136" s="369"/>
      <c r="U136" s="335">
        <f>K136*10/((I136+J136)*10/2)^0.5</f>
        <v>8.8492453184512314</v>
      </c>
      <c r="V136" s="336"/>
      <c r="W136" s="337">
        <f>SUM(I136:L136)</f>
        <v>9.1667352941176468</v>
      </c>
      <c r="X136" s="353">
        <f>SUM(N136:P136)</f>
        <v>9.2551998960656139</v>
      </c>
      <c r="Y136" s="134">
        <f>W136/X136</f>
        <v>0.99044163249401307</v>
      </c>
      <c r="Z136" s="354">
        <f>SUM(I135:P135)</f>
        <v>0.6248068</v>
      </c>
      <c r="AA136" s="35">
        <f>Z136/H135</f>
        <v>0.8618024827586207</v>
      </c>
      <c r="AC136" s="45"/>
    </row>
    <row r="137" spans="1:29" ht="15.75">
      <c r="A137" s="326"/>
      <c r="B137" s="326"/>
      <c r="C137" s="377"/>
      <c r="D137" s="378"/>
      <c r="E137" s="355" t="s">
        <v>587</v>
      </c>
      <c r="F137" s="331"/>
      <c r="G137" s="356">
        <f>SUM(I138:L138)</f>
        <v>7.6587352941176476</v>
      </c>
      <c r="H137" s="379">
        <v>0.57999999999999996</v>
      </c>
      <c r="I137" s="331">
        <v>7.9959600000000006E-2</v>
      </c>
      <c r="J137" s="357">
        <v>1.4956800000000001E-2</v>
      </c>
      <c r="K137" s="357">
        <v>5.4406499999999997E-2</v>
      </c>
      <c r="L137" s="352">
        <v>2.8635000000000002E-3</v>
      </c>
      <c r="M137" s="333"/>
      <c r="N137" s="357">
        <v>2.1349999999999997E-2</v>
      </c>
      <c r="O137" s="357">
        <v>4.53888E-2</v>
      </c>
      <c r="P137" s="357">
        <v>0.29183999999999999</v>
      </c>
      <c r="Q137" s="332"/>
      <c r="R137" s="332"/>
      <c r="S137" s="332"/>
      <c r="T137" s="332"/>
      <c r="U137" s="335"/>
      <c r="V137" s="336"/>
      <c r="W137" s="156"/>
      <c r="X137" s="156"/>
      <c r="Y137" s="337"/>
      <c r="Z137" s="35"/>
      <c r="AA137" s="35"/>
    </row>
    <row r="138" spans="1:29" s="35" customFormat="1" ht="15.75">
      <c r="A138" s="346"/>
      <c r="B138" s="347"/>
      <c r="C138" s="94"/>
      <c r="D138" s="375"/>
      <c r="E138" s="349"/>
      <c r="F138" s="350"/>
      <c r="G138" s="331"/>
      <c r="H138" s="332"/>
      <c r="I138" s="351">
        <f>I137*1000/20.04</f>
        <v>3.9900000000000007</v>
      </c>
      <c r="J138" s="351">
        <f>J137*1000/12.16</f>
        <v>1.23</v>
      </c>
      <c r="K138" s="351">
        <f>K137*1000/23</f>
        <v>2.3654999999999999</v>
      </c>
      <c r="L138" s="351">
        <f>L137*1000/39.1</f>
        <v>7.3235294117647065E-2</v>
      </c>
      <c r="M138" s="91"/>
      <c r="N138" s="352">
        <f>N137*1000/61.01</f>
        <v>0.34994263235535156</v>
      </c>
      <c r="O138" s="352">
        <f>O137*1000/35.46</f>
        <v>1.28</v>
      </c>
      <c r="P138" s="351">
        <f>P137*1000/48.03</f>
        <v>6.0762023735165513</v>
      </c>
      <c r="Q138" s="351"/>
      <c r="R138" s="351"/>
      <c r="S138" s="351"/>
      <c r="T138" s="369"/>
      <c r="U138" s="335">
        <f>K138*10/((I138+J138)*10/2)^0.5</f>
        <v>4.6302314308734376</v>
      </c>
      <c r="V138" s="336"/>
      <c r="W138" s="337">
        <f>SUM(I138:L138)</f>
        <v>7.6587352941176476</v>
      </c>
      <c r="X138" s="353">
        <f>SUM(N138:P138)</f>
        <v>7.7061450058719032</v>
      </c>
      <c r="Y138" s="134">
        <f>W138/X138</f>
        <v>0.99384780435378128</v>
      </c>
      <c r="Z138" s="354">
        <f>SUM(I137:P137)</f>
        <v>0.51076520000000003</v>
      </c>
      <c r="AA138" s="35">
        <f>Z138/H137</f>
        <v>0.88062965517241387</v>
      </c>
      <c r="AC138" s="45"/>
    </row>
    <row r="139" spans="1:29" ht="15.75">
      <c r="A139" s="326"/>
      <c r="B139" s="326"/>
      <c r="C139" s="377"/>
      <c r="D139" s="378"/>
      <c r="E139" s="340" t="s">
        <v>588</v>
      </c>
      <c r="F139" s="331"/>
      <c r="G139" s="356">
        <f>SUM(I140:L140)</f>
        <v>4.5817941176470587</v>
      </c>
      <c r="H139" s="379">
        <v>0.33500000000000002</v>
      </c>
      <c r="I139" s="379">
        <v>5.0099999999999999E-2</v>
      </c>
      <c r="J139" s="379">
        <v>8.9984000000000001E-3</v>
      </c>
      <c r="K139" s="379">
        <v>2.9934500000000003E-2</v>
      </c>
      <c r="L139" s="334">
        <v>1.5755000000000003E-3</v>
      </c>
      <c r="M139" s="333"/>
      <c r="N139" s="379">
        <v>3.0499999999999999E-2</v>
      </c>
      <c r="O139" s="379">
        <v>4.53888E-2</v>
      </c>
      <c r="P139" s="379">
        <v>0.13584000000000002</v>
      </c>
      <c r="Q139" s="332"/>
      <c r="R139" s="332"/>
      <c r="S139" s="332"/>
      <c r="T139" s="332"/>
      <c r="U139" s="335"/>
      <c r="V139" s="336"/>
      <c r="W139" s="156"/>
      <c r="X139" s="156"/>
      <c r="Y139" s="337"/>
      <c r="Z139" s="35"/>
      <c r="AA139" s="35"/>
    </row>
    <row r="140" spans="1:29" ht="16.5" thickBot="1">
      <c r="A140" s="420"/>
      <c r="B140" s="421"/>
      <c r="C140" s="422"/>
      <c r="D140" s="429"/>
      <c r="E140" s="362"/>
      <c r="F140" s="363"/>
      <c r="G140" s="363"/>
      <c r="H140" s="364"/>
      <c r="I140" s="364">
        <f>I139*1000/20.04</f>
        <v>2.5</v>
      </c>
      <c r="J140" s="364">
        <f>J139*1000/12.16</f>
        <v>0.74</v>
      </c>
      <c r="K140" s="364">
        <f>K139*1000/23</f>
        <v>1.3015000000000001</v>
      </c>
      <c r="L140" s="364">
        <f>L139*1000/39.1</f>
        <v>4.0294117647058827E-2</v>
      </c>
      <c r="M140" s="365"/>
      <c r="N140" s="366">
        <f>N139*1000/61.01</f>
        <v>0.49991804622193087</v>
      </c>
      <c r="O140" s="366">
        <f>O139*1000/35.46</f>
        <v>1.28</v>
      </c>
      <c r="P140" s="364">
        <f>P139*1000/48.03</f>
        <v>2.8282323547782635</v>
      </c>
      <c r="Q140" s="364"/>
      <c r="R140" s="364"/>
      <c r="S140" s="364"/>
      <c r="T140" s="430"/>
      <c r="U140" s="335">
        <f>K140*10/((I140+J140)*10/2)^0.5</f>
        <v>3.2336027474621956</v>
      </c>
      <c r="V140" s="367"/>
      <c r="W140" s="337">
        <f>SUM(I140:L140)</f>
        <v>4.5817941176470587</v>
      </c>
      <c r="X140" s="338">
        <f>SUM(N140:P140)</f>
        <v>4.6081504010001941</v>
      </c>
      <c r="Y140" s="337">
        <f>W140/X140</f>
        <v>0.99428050713201221</v>
      </c>
      <c r="Z140" s="280">
        <f>SUM(I139:P139)</f>
        <v>0.30233719999999997</v>
      </c>
      <c r="AA140" s="45">
        <f>Z140/H139</f>
        <v>0.90249910447761184</v>
      </c>
    </row>
    <row r="141" spans="1:29" ht="15.75">
      <c r="A141" s="326"/>
      <c r="B141" s="326">
        <v>5</v>
      </c>
      <c r="C141" s="377">
        <v>3</v>
      </c>
      <c r="D141" s="314"/>
      <c r="E141" s="355" t="s">
        <v>37</v>
      </c>
      <c r="F141" s="342"/>
      <c r="G141" s="356">
        <f>SUM(I142:L142)</f>
        <v>3.6221764705882347</v>
      </c>
      <c r="H141" s="343">
        <v>0.27</v>
      </c>
      <c r="I141" s="343">
        <v>6.0119999999999993E-2</v>
      </c>
      <c r="J141" s="343">
        <v>3.0400000000000002E-3</v>
      </c>
      <c r="K141" s="343">
        <v>8.3029999999999996E-3</v>
      </c>
      <c r="L141" s="344">
        <v>4.37E-4</v>
      </c>
      <c r="M141" s="372"/>
      <c r="N141" s="343">
        <v>2.6839999999999999E-2</v>
      </c>
      <c r="O141" s="343">
        <v>4.1842799999999999E-2</v>
      </c>
      <c r="P141" s="343">
        <v>9.6479999999999996E-2</v>
      </c>
      <c r="Q141" s="345"/>
      <c r="R141" s="345"/>
      <c r="S141" s="345"/>
      <c r="T141" s="345"/>
      <c r="U141" s="324"/>
      <c r="V141" s="374"/>
      <c r="W141" s="156"/>
      <c r="X141" s="156"/>
      <c r="Y141" s="337"/>
      <c r="Z141" s="35"/>
      <c r="AA141" s="35"/>
    </row>
    <row r="142" spans="1:29" s="35" customFormat="1" ht="15.75">
      <c r="A142" s="346"/>
      <c r="B142" s="347"/>
      <c r="C142" s="94"/>
      <c r="D142" s="375"/>
      <c r="E142" s="349"/>
      <c r="F142" s="350"/>
      <c r="G142" s="281"/>
      <c r="H142" s="332"/>
      <c r="I142" s="351">
        <f>I141*1000/20.04</f>
        <v>2.9999999999999996</v>
      </c>
      <c r="J142" s="351">
        <f>J141*1000/12.16</f>
        <v>0.25</v>
      </c>
      <c r="K142" s="351">
        <f>K141*1000/23</f>
        <v>0.36099999999999993</v>
      </c>
      <c r="L142" s="351">
        <f>L141*1000/39.1</f>
        <v>1.1176470588235293E-2</v>
      </c>
      <c r="M142" s="91"/>
      <c r="N142" s="352">
        <f>N141*1000/61.01</f>
        <v>0.43992788067529914</v>
      </c>
      <c r="O142" s="352">
        <f>O141*1000/35.46</f>
        <v>1.18</v>
      </c>
      <c r="P142" s="351">
        <f>P141*1000/48.03</f>
        <v>2.0087445346658335</v>
      </c>
      <c r="Q142" s="351"/>
      <c r="R142" s="351"/>
      <c r="S142" s="351"/>
      <c r="T142" s="369"/>
      <c r="U142" s="335">
        <f>K142*10/((I142+J142)*10/2)^0.5</f>
        <v>0.89553078373408501</v>
      </c>
      <c r="V142" s="336"/>
      <c r="W142" s="337">
        <f>SUM(I142:L142)</f>
        <v>3.6221764705882347</v>
      </c>
      <c r="X142" s="353">
        <f>SUM(N142:P142)</f>
        <v>3.6286724153411325</v>
      </c>
      <c r="Y142" s="134">
        <f>W142/X142</f>
        <v>0.99820982882735998</v>
      </c>
      <c r="Z142" s="354">
        <f>SUM(I141:P141)</f>
        <v>0.23706280000000002</v>
      </c>
      <c r="AA142" s="35">
        <f>Z142/H141</f>
        <v>0.87801037037037033</v>
      </c>
      <c r="AC142" s="45"/>
    </row>
    <row r="143" spans="1:29" ht="15.75">
      <c r="A143" s="326"/>
      <c r="B143" s="326"/>
      <c r="C143" s="377"/>
      <c r="D143" s="378"/>
      <c r="E143" s="340" t="s">
        <v>586</v>
      </c>
      <c r="F143" s="331"/>
      <c r="G143" s="356">
        <f>SUM(I144:L144)</f>
        <v>3.9456764705882357</v>
      </c>
      <c r="H143" s="379">
        <v>0.28000000000000003</v>
      </c>
      <c r="I143" s="331">
        <v>6.9939600000000005E-2</v>
      </c>
      <c r="J143" s="357">
        <v>3.0400000000000002E-3</v>
      </c>
      <c r="K143" s="357">
        <v>4.5884999999999997E-3</v>
      </c>
      <c r="L143" s="352">
        <v>2.4150000000000002E-4</v>
      </c>
      <c r="M143" s="333"/>
      <c r="N143" s="357">
        <v>2.6839999999999999E-2</v>
      </c>
      <c r="O143" s="357">
        <v>4.1842799999999999E-2</v>
      </c>
      <c r="P143" s="357">
        <v>9.9840000000000012E-2</v>
      </c>
      <c r="Q143" s="332"/>
      <c r="R143" s="332"/>
      <c r="S143" s="332"/>
      <c r="T143" s="332"/>
      <c r="U143" s="335"/>
      <c r="V143" s="336"/>
      <c r="W143" s="156"/>
      <c r="X143" s="156"/>
      <c r="Y143" s="337"/>
    </row>
    <row r="144" spans="1:29" s="35" customFormat="1" ht="15.75">
      <c r="A144" s="346"/>
      <c r="B144" s="347"/>
      <c r="C144" s="94"/>
      <c r="D144" s="375"/>
      <c r="E144" s="349"/>
      <c r="F144" s="350"/>
      <c r="G144" s="350"/>
      <c r="H144" s="332"/>
      <c r="I144" s="351">
        <f>I143*1000/20.04</f>
        <v>3.49</v>
      </c>
      <c r="J144" s="351">
        <f>J143*1000/12.16</f>
        <v>0.25</v>
      </c>
      <c r="K144" s="351">
        <f>K143*1000/23</f>
        <v>0.19949999999999998</v>
      </c>
      <c r="L144" s="351">
        <f>L143*1000/39.1</f>
        <v>6.1764705882352946E-3</v>
      </c>
      <c r="M144" s="91"/>
      <c r="N144" s="352">
        <f>N143*1000/61.01</f>
        <v>0.43992788067529914</v>
      </c>
      <c r="O144" s="352">
        <f>O143*1000/35.46</f>
        <v>1.18</v>
      </c>
      <c r="P144" s="351">
        <f>P143*1000/48.03</f>
        <v>2.0787008119925048</v>
      </c>
      <c r="Q144" s="351"/>
      <c r="R144" s="351"/>
      <c r="S144" s="351"/>
      <c r="T144" s="369"/>
      <c r="U144" s="335">
        <f>K144*10/((I144+J144)*10/2)^0.5</f>
        <v>0.46134104683772303</v>
      </c>
      <c r="V144" s="336"/>
      <c r="W144" s="337">
        <f>SUM(I144:L144)</f>
        <v>3.9456764705882357</v>
      </c>
      <c r="X144" s="353">
        <f>SUM(N144:P144)</f>
        <v>3.6986286926678038</v>
      </c>
      <c r="Y144" s="431">
        <f>W144/X144</f>
        <v>1.0667944252988091</v>
      </c>
      <c r="Z144" s="354">
        <f>SUM(I143:P143)</f>
        <v>0.24633240000000003</v>
      </c>
      <c r="AA144" s="35">
        <f>Z144/H143</f>
        <v>0.8797585714285715</v>
      </c>
      <c r="AC144" s="45"/>
    </row>
    <row r="145" spans="1:29" ht="15.75">
      <c r="A145" s="326"/>
      <c r="B145" s="326"/>
      <c r="C145" s="377"/>
      <c r="D145" s="378"/>
      <c r="E145" s="355" t="s">
        <v>587</v>
      </c>
      <c r="F145" s="331"/>
      <c r="G145" s="356">
        <f>SUM(I146:L146)</f>
        <v>3.9586176470588232</v>
      </c>
      <c r="H145" s="379">
        <v>0.22500000000000001</v>
      </c>
      <c r="I145" s="331">
        <v>2.0039999999999999E-2</v>
      </c>
      <c r="J145" s="357">
        <v>1.2038400000000001E-2</v>
      </c>
      <c r="K145" s="357">
        <v>4.3918499999999992E-2</v>
      </c>
      <c r="L145" s="352">
        <v>2.3114999999999998E-3</v>
      </c>
      <c r="M145" s="333"/>
      <c r="N145" s="357">
        <v>2.4400000000000002E-2</v>
      </c>
      <c r="O145" s="357">
        <v>3.1559400000000001E-2</v>
      </c>
      <c r="P145" s="357">
        <v>8.208E-2</v>
      </c>
      <c r="Q145" s="332"/>
      <c r="R145" s="332"/>
      <c r="S145" s="332"/>
      <c r="T145" s="332"/>
      <c r="U145" s="335"/>
      <c r="V145" s="336"/>
      <c r="W145" s="156"/>
      <c r="X145" s="156"/>
      <c r="Y145" s="337"/>
    </row>
    <row r="146" spans="1:29" s="35" customFormat="1" ht="15.75">
      <c r="A146" s="346"/>
      <c r="B146" s="347"/>
      <c r="C146" s="94"/>
      <c r="D146" s="375"/>
      <c r="E146" s="349"/>
      <c r="F146" s="350"/>
      <c r="G146" s="331"/>
      <c r="H146" s="332"/>
      <c r="I146" s="351">
        <f>I145*1000/20.04</f>
        <v>1</v>
      </c>
      <c r="J146" s="351">
        <f>J145*1000/12.16</f>
        <v>0.9900000000000001</v>
      </c>
      <c r="K146" s="351">
        <f>K145*1000/23</f>
        <v>1.9094999999999998</v>
      </c>
      <c r="L146" s="351">
        <f>L145*1000/39.1</f>
        <v>5.9117647058823518E-2</v>
      </c>
      <c r="M146" s="91"/>
      <c r="N146" s="352">
        <f>N145*1000/61.01</f>
        <v>0.39993443697754472</v>
      </c>
      <c r="O146" s="352">
        <f>O145*1000/35.46</f>
        <v>0.89</v>
      </c>
      <c r="P146" s="351">
        <f>P145*1000/48.03</f>
        <v>1.7089319175515303</v>
      </c>
      <c r="Q146" s="351"/>
      <c r="R146" s="351"/>
      <c r="S146" s="351"/>
      <c r="T146" s="369"/>
      <c r="U146" s="335">
        <f>K146*10/((I146+J146)*10/2)^0.5</f>
        <v>6.0535219616933338</v>
      </c>
      <c r="V146" s="336"/>
      <c r="W146" s="337">
        <f>SUM(I146:L146)</f>
        <v>3.9586176470588232</v>
      </c>
      <c r="X146" s="353">
        <f>SUM(N146:P146)</f>
        <v>2.998866354529075</v>
      </c>
      <c r="Y146" s="431">
        <f>W146/X146</f>
        <v>1.3200380340658635</v>
      </c>
      <c r="Z146" s="354">
        <f>SUM(I145:P145)</f>
        <v>0.21634779999999998</v>
      </c>
      <c r="AA146" s="35">
        <f>Z146/H145</f>
        <v>0.96154577777777761</v>
      </c>
      <c r="AC146" s="45"/>
    </row>
    <row r="147" spans="1:29" ht="15.75">
      <c r="A147" s="326"/>
      <c r="B147" s="326"/>
      <c r="C147" s="377"/>
      <c r="D147" s="378"/>
      <c r="E147" s="340" t="s">
        <v>588</v>
      </c>
      <c r="F147" s="331"/>
      <c r="G147" s="356">
        <f>SUM(I148:L148)</f>
        <v>2.5386764705882352</v>
      </c>
      <c r="H147" s="379">
        <v>0.18</v>
      </c>
      <c r="I147" s="357">
        <v>3.5069999999999997E-2</v>
      </c>
      <c r="J147" s="357">
        <v>3.0400000000000002E-3</v>
      </c>
      <c r="K147" s="357">
        <v>1.20175E-2</v>
      </c>
      <c r="L147" s="352">
        <v>6.3250000000000014E-4</v>
      </c>
      <c r="M147" s="333"/>
      <c r="N147" s="357">
        <v>3.2940000000000004E-2</v>
      </c>
      <c r="O147" s="357">
        <v>3.7942200000000002E-2</v>
      </c>
      <c r="P147" s="357">
        <v>4.512E-2</v>
      </c>
      <c r="Q147" s="332"/>
      <c r="R147" s="332"/>
      <c r="S147" s="332"/>
      <c r="T147" s="332"/>
      <c r="U147" s="335"/>
      <c r="V147" s="336"/>
      <c r="W147" s="156"/>
      <c r="X147" s="156"/>
      <c r="Y147" s="337"/>
    </row>
    <row r="148" spans="1:29" s="35" customFormat="1" ht="16.5" thickBot="1">
      <c r="A148" s="346"/>
      <c r="B148" s="347"/>
      <c r="C148" s="94"/>
      <c r="D148" s="375"/>
      <c r="E148" s="380"/>
      <c r="F148" s="400"/>
      <c r="G148" s="363"/>
      <c r="H148" s="358"/>
      <c r="I148" s="382">
        <f>I147*1000/20.04</f>
        <v>1.75</v>
      </c>
      <c r="J148" s="382">
        <f>J147*1000/12.16</f>
        <v>0.25</v>
      </c>
      <c r="K148" s="382">
        <f>K147*1000/23</f>
        <v>0.52249999999999996</v>
      </c>
      <c r="L148" s="382">
        <f>L147*1000/39.1</f>
        <v>1.6176470588235299E-2</v>
      </c>
      <c r="M148" s="383"/>
      <c r="N148" s="384">
        <f>N147*1000/61.01</f>
        <v>0.53991148991968541</v>
      </c>
      <c r="O148" s="384">
        <f>O147*1000/35.46</f>
        <v>1.07</v>
      </c>
      <c r="P148" s="382">
        <f>P147*1000/48.03</f>
        <v>0.93941286695815107</v>
      </c>
      <c r="Q148" s="382"/>
      <c r="R148" s="382"/>
      <c r="S148" s="382"/>
      <c r="T148" s="401"/>
      <c r="U148" s="335">
        <f>K148*10/((I148+J148)*10/2)^0.5</f>
        <v>1.6522900774379781</v>
      </c>
      <c r="V148" s="408"/>
      <c r="W148" s="337">
        <f>SUM(I148:L148)</f>
        <v>2.5386764705882352</v>
      </c>
      <c r="X148" s="353">
        <f>SUM(N148:P148)</f>
        <v>2.5493243568778365</v>
      </c>
      <c r="Y148" s="134">
        <f>W148/X148</f>
        <v>0.99582325165455143</v>
      </c>
      <c r="Z148" s="354">
        <f>SUM(I147:P147)</f>
        <v>0.1667622</v>
      </c>
      <c r="AA148" s="35">
        <f>Z148/H147</f>
        <v>0.92645666666666671</v>
      </c>
      <c r="AC148" s="45"/>
    </row>
    <row r="149" spans="1:29" ht="15.75">
      <c r="A149" s="386"/>
      <c r="B149" s="386">
        <v>6</v>
      </c>
      <c r="C149" s="368">
        <v>3</v>
      </c>
      <c r="D149" s="314"/>
      <c r="E149" s="315" t="s">
        <v>37</v>
      </c>
      <c r="F149" s="316"/>
      <c r="G149" s="356">
        <f>SUM(I150:L150)</f>
        <v>4.0585588235294114</v>
      </c>
      <c r="H149" s="388">
        <v>0.28499999999999998</v>
      </c>
      <c r="I149" s="388">
        <v>6.0119999999999993E-2</v>
      </c>
      <c r="J149" s="388">
        <v>1.2038400000000001E-2</v>
      </c>
      <c r="K149" s="388">
        <v>1.5295E-3</v>
      </c>
      <c r="L149" s="415">
        <v>8.0500000000000005E-5</v>
      </c>
      <c r="M149" s="320"/>
      <c r="N149" s="388">
        <v>2.4400000000000002E-2</v>
      </c>
      <c r="O149" s="388">
        <v>5.2480799999999994E-2</v>
      </c>
      <c r="P149" s="388">
        <v>0.10464000000000001</v>
      </c>
      <c r="Q149" s="324"/>
      <c r="R149" s="416"/>
      <c r="S149" s="323"/>
      <c r="T149" s="323"/>
      <c r="U149" s="324"/>
      <c r="V149" s="325"/>
      <c r="W149" s="156"/>
      <c r="X149" s="156"/>
      <c r="Y149" s="337"/>
      <c r="Z149" s="35"/>
      <c r="AA149" s="35"/>
    </row>
    <row r="150" spans="1:29" ht="15.75">
      <c r="A150" s="326"/>
      <c r="B150" s="327"/>
      <c r="C150" s="328"/>
      <c r="D150" s="405"/>
      <c r="E150" s="330"/>
      <c r="F150" s="331"/>
      <c r="H150" s="332"/>
      <c r="I150" s="332">
        <f>I149*1000/20.04</f>
        <v>2.9999999999999996</v>
      </c>
      <c r="J150" s="332">
        <f>J149*1000/12.16</f>
        <v>0.9900000000000001</v>
      </c>
      <c r="K150" s="332">
        <f>K149*1000/23</f>
        <v>6.6500000000000004E-2</v>
      </c>
      <c r="L150" s="332">
        <f>L149*1000/39.1</f>
        <v>2.0588235294117649E-3</v>
      </c>
      <c r="M150" s="333"/>
      <c r="N150" s="334">
        <f>N149*1000/61.01</f>
        <v>0.39993443697754472</v>
      </c>
      <c r="O150" s="334">
        <f>O149*1000/35.46</f>
        <v>1.4799999999999998</v>
      </c>
      <c r="P150" s="332">
        <f>P149*1000/48.03</f>
        <v>2.1786383510306062</v>
      </c>
      <c r="Q150" s="332"/>
      <c r="R150" s="332"/>
      <c r="S150" s="332"/>
      <c r="T150" s="345"/>
      <c r="U150" s="335">
        <f>K150*10/((I150+J150)*10/2)^0.5</f>
        <v>0.14888474289418197</v>
      </c>
      <c r="V150" s="376" t="e">
        <f>S149/(Q149+R149+S149+T149)*100</f>
        <v>#DIV/0!</v>
      </c>
      <c r="W150" s="337">
        <f>SUM(I150:L150)</f>
        <v>4.0585588235294114</v>
      </c>
      <c r="X150" s="338">
        <f>SUM(N150:P150)</f>
        <v>4.058572788008151</v>
      </c>
      <c r="Y150" s="337">
        <f>W150/X150</f>
        <v>0.99999655926369468</v>
      </c>
      <c r="Z150" s="280">
        <f>SUM(I149:P149)</f>
        <v>0.25528919999999999</v>
      </c>
      <c r="AA150" s="45">
        <f>Z150/H149</f>
        <v>0.89575157894736845</v>
      </c>
    </row>
    <row r="151" spans="1:29" ht="15.75">
      <c r="A151" s="326"/>
      <c r="B151" s="326"/>
      <c r="C151" s="377"/>
      <c r="D151" s="390"/>
      <c r="E151" s="340" t="s">
        <v>586</v>
      </c>
      <c r="F151" s="331"/>
      <c r="G151" s="356">
        <f>SUM(I152:L152)</f>
        <v>4.5228235294117649</v>
      </c>
      <c r="H151" s="379">
        <v>0.33</v>
      </c>
      <c r="I151" s="331">
        <v>5.4909600000000003E-2</v>
      </c>
      <c r="J151" s="379">
        <v>5.9584E-3</v>
      </c>
      <c r="K151" s="379">
        <v>2.8842E-2</v>
      </c>
      <c r="L151" s="352">
        <v>1.5180000000000003E-3</v>
      </c>
      <c r="M151" s="333"/>
      <c r="N151" s="357">
        <v>2.6839999999999999E-2</v>
      </c>
      <c r="O151" s="357">
        <v>4.53888E-2</v>
      </c>
      <c r="P151" s="357">
        <v>0.13584000000000002</v>
      </c>
      <c r="Q151" s="418"/>
      <c r="R151" s="419"/>
      <c r="S151" s="369"/>
      <c r="T151" s="369"/>
      <c r="U151" s="335"/>
      <c r="V151" s="336"/>
      <c r="W151" s="156"/>
      <c r="X151" s="156"/>
      <c r="Y151" s="337"/>
      <c r="Z151" s="35"/>
      <c r="AA151" s="35"/>
    </row>
    <row r="152" spans="1:29" s="35" customFormat="1" ht="15.75">
      <c r="A152" s="346"/>
      <c r="B152" s="347"/>
      <c r="C152" s="94"/>
      <c r="D152" s="375"/>
      <c r="E152" s="349"/>
      <c r="F152" s="350"/>
      <c r="G152" s="350"/>
      <c r="H152" s="332"/>
      <c r="I152" s="351">
        <f>I151*1000/20.04</f>
        <v>2.74</v>
      </c>
      <c r="J152" s="351">
        <f>J151*1000/12.16</f>
        <v>0.49</v>
      </c>
      <c r="K152" s="351">
        <f>K151*1000/23</f>
        <v>1.254</v>
      </c>
      <c r="L152" s="351">
        <f>L151*1000/39.1</f>
        <v>3.8823529411764708E-2</v>
      </c>
      <c r="M152" s="91"/>
      <c r="N152" s="352">
        <f>N151*1000/61.01</f>
        <v>0.43992788067529914</v>
      </c>
      <c r="O152" s="352">
        <f>O151*1000/35.46</f>
        <v>1.28</v>
      </c>
      <c r="P152" s="351">
        <f>P151*1000/48.03</f>
        <v>2.8282323547782635</v>
      </c>
      <c r="Q152" s="351"/>
      <c r="R152" s="351"/>
      <c r="S152" s="351"/>
      <c r="T152" s="369"/>
      <c r="U152" s="335">
        <f>K152*10/((I152+J152)*10/2)^0.5</f>
        <v>3.120407213244865</v>
      </c>
      <c r="V152" s="376" t="e">
        <f>S151/(Q151+R151+S151+T151)*100</f>
        <v>#DIV/0!</v>
      </c>
      <c r="W152" s="337">
        <f>SUM(I152:L152)</f>
        <v>4.5228235294117649</v>
      </c>
      <c r="X152" s="353">
        <f>SUM(N152:P152)</f>
        <v>4.5481602354535626</v>
      </c>
      <c r="Y152" s="134">
        <f>W152/X152</f>
        <v>0.99442924067531868</v>
      </c>
      <c r="Z152" s="354">
        <f>SUM(I151:P151)</f>
        <v>0.29929680000000003</v>
      </c>
      <c r="AA152" s="35">
        <f>Z152/H151</f>
        <v>0.9069600000000001</v>
      </c>
      <c r="AC152" s="45"/>
    </row>
    <row r="153" spans="1:29" ht="15.75">
      <c r="A153" s="326"/>
      <c r="B153" s="326"/>
      <c r="C153" s="377"/>
      <c r="D153" s="390"/>
      <c r="E153" s="355" t="s">
        <v>587</v>
      </c>
      <c r="F153" s="331"/>
      <c r="G153" s="356">
        <f>SUM(I154:L154)</f>
        <v>6.7852647058823523</v>
      </c>
      <c r="H153" s="379">
        <v>0.495</v>
      </c>
      <c r="I153" s="331">
        <v>3.5069999999999997E-2</v>
      </c>
      <c r="J153" s="379">
        <v>1.79968E-2</v>
      </c>
      <c r="K153" s="379">
        <v>7.9315499999999997E-2</v>
      </c>
      <c r="L153" s="352">
        <v>4.1745000000000003E-3</v>
      </c>
      <c r="M153" s="333"/>
      <c r="N153" s="357">
        <v>2.6839999999999999E-2</v>
      </c>
      <c r="O153" s="357">
        <v>4.53888E-2</v>
      </c>
      <c r="P153" s="357">
        <v>0.24671999999999999</v>
      </c>
      <c r="Q153" s="418"/>
      <c r="R153" s="419"/>
      <c r="S153" s="369"/>
      <c r="T153" s="369"/>
      <c r="U153" s="335"/>
      <c r="V153" s="336"/>
      <c r="W153" s="156"/>
      <c r="X153" s="156"/>
      <c r="Y153" s="337"/>
      <c r="Z153" s="35"/>
      <c r="AA153" s="35"/>
    </row>
    <row r="154" spans="1:29" s="35" customFormat="1" ht="15.75">
      <c r="A154" s="346"/>
      <c r="B154" s="347"/>
      <c r="C154" s="94"/>
      <c r="D154" s="375"/>
      <c r="E154" s="349"/>
      <c r="F154" s="350"/>
      <c r="G154" s="331"/>
      <c r="H154" s="332"/>
      <c r="I154" s="351">
        <f>I153*1000/20.04</f>
        <v>1.75</v>
      </c>
      <c r="J154" s="351">
        <f>J153*1000/12.16</f>
        <v>1.48</v>
      </c>
      <c r="K154" s="351">
        <f>K153*1000/23</f>
        <v>3.4485000000000001</v>
      </c>
      <c r="L154" s="351">
        <f>L153*1000/39.1</f>
        <v>0.10676470588235294</v>
      </c>
      <c r="M154" s="91"/>
      <c r="N154" s="352">
        <f>N153*1000/61.01</f>
        <v>0.43992788067529914</v>
      </c>
      <c r="O154" s="352">
        <f>O153*1000/35.46</f>
        <v>1.28</v>
      </c>
      <c r="P154" s="351">
        <f>P153*1000/48.03</f>
        <v>5.1367895065584008</v>
      </c>
      <c r="Q154" s="351"/>
      <c r="R154" s="351"/>
      <c r="S154" s="351"/>
      <c r="T154" s="369"/>
      <c r="U154" s="335">
        <f>K154*10/((I154+J154)*10/2)^0.5</f>
        <v>8.5811198364233814</v>
      </c>
      <c r="V154" s="376" t="e">
        <f>S153/(Q153+R153+S153+T153)*100</f>
        <v>#DIV/0!</v>
      </c>
      <c r="W154" s="337">
        <f>SUM(I154:L154)</f>
        <v>6.7852647058823523</v>
      </c>
      <c r="X154" s="353">
        <f>SUM(N154:P154)</f>
        <v>6.8567173872336999</v>
      </c>
      <c r="Y154" s="134">
        <f>W154/X154</f>
        <v>0.98957917071449042</v>
      </c>
      <c r="Z154" s="354">
        <f>SUM(I153:P153)</f>
        <v>0.45550560000000001</v>
      </c>
      <c r="AA154" s="35">
        <f>Z154/H153</f>
        <v>0.92021333333333333</v>
      </c>
      <c r="AC154" s="45"/>
    </row>
    <row r="155" spans="1:29" ht="15.75">
      <c r="A155" s="326"/>
      <c r="B155" s="326"/>
      <c r="C155" s="377"/>
      <c r="D155" s="390"/>
      <c r="E155" s="340" t="s">
        <v>588</v>
      </c>
      <c r="F155" s="331"/>
      <c r="G155" s="356">
        <f>SUM(I156:L156)</f>
        <v>7.6128235294117648</v>
      </c>
      <c r="H155" s="379">
        <v>0.55000000000000004</v>
      </c>
      <c r="I155" s="379">
        <v>4.0079999999999998E-2</v>
      </c>
      <c r="J155" s="379">
        <v>1.2038400000000001E-2</v>
      </c>
      <c r="K155" s="379">
        <v>0.10313199999999999</v>
      </c>
      <c r="L155" s="352">
        <v>5.4279999999999997E-3</v>
      </c>
      <c r="M155" s="333"/>
      <c r="N155" s="357">
        <v>3.0499999999999999E-2</v>
      </c>
      <c r="O155" s="357">
        <v>5.9572799999999995E-2</v>
      </c>
      <c r="P155" s="357">
        <v>0.26544000000000001</v>
      </c>
      <c r="Q155" s="418"/>
      <c r="R155" s="419"/>
      <c r="S155" s="369"/>
      <c r="T155" s="369"/>
      <c r="U155" s="335"/>
      <c r="V155" s="336"/>
      <c r="W155" s="156"/>
      <c r="X155" s="156"/>
      <c r="Y155" s="337"/>
    </row>
    <row r="156" spans="1:29" s="35" customFormat="1" ht="16.5" thickBot="1">
      <c r="A156" s="391"/>
      <c r="B156" s="392"/>
      <c r="C156" s="132"/>
      <c r="D156" s="393"/>
      <c r="E156" s="394"/>
      <c r="F156" s="381"/>
      <c r="G156" s="363"/>
      <c r="H156" s="364"/>
      <c r="I156" s="395">
        <f>I155*1000/20.04</f>
        <v>2</v>
      </c>
      <c r="J156" s="395">
        <f>J155*1000/12.16</f>
        <v>0.9900000000000001</v>
      </c>
      <c r="K156" s="395">
        <f>K155*1000/23</f>
        <v>4.484</v>
      </c>
      <c r="L156" s="395">
        <f>L155*1000/39.1</f>
        <v>0.13882352941176471</v>
      </c>
      <c r="M156" s="396"/>
      <c r="N156" s="397">
        <f>N155*1000/61.01</f>
        <v>0.49991804622193087</v>
      </c>
      <c r="O156" s="397">
        <f>O155*1000/35.46</f>
        <v>1.6799999999999997</v>
      </c>
      <c r="P156" s="395">
        <f>P155*1000/48.03</f>
        <v>5.5265459088069955</v>
      </c>
      <c r="Q156" s="395"/>
      <c r="R156" s="395"/>
      <c r="S156" s="395"/>
      <c r="T156" s="428"/>
      <c r="U156" s="335">
        <f>K156*10/((I156+J156)*10/2)^0.5</f>
        <v>11.596982654508164</v>
      </c>
      <c r="V156" s="425" t="e">
        <f>S155/(Q155+R155+S155+T155)*100</f>
        <v>#DIV/0!</v>
      </c>
      <c r="W156" s="337">
        <f>SUM(I156:L156)</f>
        <v>7.6128235294117648</v>
      </c>
      <c r="X156" s="353">
        <f>SUM(N156:P156)</f>
        <v>7.7064639550289264</v>
      </c>
      <c r="Y156" s="134">
        <f>W156/X156</f>
        <v>0.9878491061317356</v>
      </c>
      <c r="Z156" s="354">
        <f>SUM(I155:P155)</f>
        <v>0.51619119999999996</v>
      </c>
      <c r="AA156" s="35">
        <f>Z156/H155</f>
        <v>0.93852945454545444</v>
      </c>
      <c r="AC156" s="45"/>
    </row>
    <row r="157" spans="1:29" ht="15.75">
      <c r="A157" s="326"/>
      <c r="B157" s="326" t="s">
        <v>358</v>
      </c>
      <c r="C157" s="377">
        <v>1</v>
      </c>
      <c r="D157" s="314"/>
      <c r="E157" s="355" t="s">
        <v>37</v>
      </c>
      <c r="F157" s="342"/>
      <c r="G157" s="356">
        <f>SUM(I158:L158)</f>
        <v>4.0278823529411767</v>
      </c>
      <c r="H157" s="343">
        <v>0.28499999999999998</v>
      </c>
      <c r="I157" s="343">
        <v>4.5089999999999998E-2</v>
      </c>
      <c r="J157" s="343">
        <v>3.0400000000000002E-3</v>
      </c>
      <c r="K157" s="343">
        <v>3.4085999999999998E-2</v>
      </c>
      <c r="L157" s="344">
        <v>1.7940000000000002E-3</v>
      </c>
      <c r="M157" s="372"/>
      <c r="N157" s="343">
        <v>2.6839999999999999E-2</v>
      </c>
      <c r="O157" s="343">
        <v>5.2480799999999994E-2</v>
      </c>
      <c r="P157" s="343">
        <v>0.10272000000000001</v>
      </c>
      <c r="Q157" s="345"/>
      <c r="R157" s="345"/>
      <c r="S157" s="345"/>
      <c r="T157" s="345"/>
      <c r="U157" s="324"/>
      <c r="V157" s="374"/>
      <c r="W157" s="156"/>
      <c r="X157" s="156"/>
      <c r="Y157" s="337"/>
      <c r="Z157" s="35"/>
      <c r="AA157" s="35"/>
    </row>
    <row r="158" spans="1:29" s="35" customFormat="1" ht="15.75">
      <c r="A158" s="346"/>
      <c r="B158" s="347">
        <v>1</v>
      </c>
      <c r="C158" s="94"/>
      <c r="D158" s="375"/>
      <c r="E158" s="349"/>
      <c r="F158" s="350"/>
      <c r="G158" s="281"/>
      <c r="H158" s="332"/>
      <c r="I158" s="351">
        <f>I157*1000/20.04</f>
        <v>2.25</v>
      </c>
      <c r="J158" s="351">
        <f>J157*1000/12.16</f>
        <v>0.25</v>
      </c>
      <c r="K158" s="351">
        <f>K157*1000/23</f>
        <v>1.482</v>
      </c>
      <c r="L158" s="351">
        <f>L157*1000/39.1</f>
        <v>4.5882352941176478E-2</v>
      </c>
      <c r="M158" s="91"/>
      <c r="N158" s="352">
        <f>N157*1000/61.01</f>
        <v>0.43992788067529914</v>
      </c>
      <c r="O158" s="352">
        <f>O157*1000/35.46</f>
        <v>1.4799999999999998</v>
      </c>
      <c r="P158" s="351">
        <f>P157*1000/48.03</f>
        <v>2.1386633354153655</v>
      </c>
      <c r="Q158" s="351"/>
      <c r="R158" s="351"/>
      <c r="S158" s="351"/>
      <c r="T158" s="369"/>
      <c r="U158" s="335">
        <f>K158*10/((I158+J158)*10/2)^0.5</f>
        <v>4.1917289988738533</v>
      </c>
      <c r="V158" s="336"/>
      <c r="W158" s="337">
        <f>SUM(I158:L158)</f>
        <v>4.0278823529411767</v>
      </c>
      <c r="X158" s="353">
        <f>SUM(N158:P158)</f>
        <v>4.0585912160906643</v>
      </c>
      <c r="Y158" s="134">
        <f>W158/X158</f>
        <v>0.9924336151352865</v>
      </c>
      <c r="Z158" s="354">
        <f>SUM(I157:P157)</f>
        <v>0.26605080000000003</v>
      </c>
      <c r="AA158" s="35">
        <f>Z158/H157</f>
        <v>0.93351157894736858</v>
      </c>
      <c r="AC158" s="45"/>
    </row>
    <row r="159" spans="1:29" ht="15.75">
      <c r="A159" s="326"/>
      <c r="B159" s="326"/>
      <c r="C159" s="377"/>
      <c r="D159" s="378"/>
      <c r="E159" s="340" t="s">
        <v>586</v>
      </c>
      <c r="F159" s="331"/>
      <c r="G159" s="356">
        <f>SUM(I160:L160)</f>
        <v>3.714264705882353</v>
      </c>
      <c r="H159" s="379">
        <v>0.27</v>
      </c>
      <c r="I159" s="331">
        <v>4.0079999999999998E-2</v>
      </c>
      <c r="J159" s="357">
        <v>5.9584E-3</v>
      </c>
      <c r="K159" s="357">
        <v>2.7312499999999997E-2</v>
      </c>
      <c r="L159" s="352">
        <v>1.4375E-3</v>
      </c>
      <c r="M159" s="333"/>
      <c r="N159" s="357">
        <v>2.6839999999999999E-2</v>
      </c>
      <c r="O159" s="357">
        <v>3.5105399999999995E-2</v>
      </c>
      <c r="P159" s="357">
        <v>0.11088000000000001</v>
      </c>
      <c r="Q159" s="332"/>
      <c r="R159" s="332"/>
      <c r="S159" s="332"/>
      <c r="T159" s="332"/>
      <c r="U159" s="335"/>
      <c r="V159" s="336"/>
      <c r="W159" s="156"/>
      <c r="X159" s="156"/>
      <c r="Y159" s="337"/>
    </row>
    <row r="160" spans="1:29" s="35" customFormat="1" ht="15.75">
      <c r="A160" s="346"/>
      <c r="B160" s="347"/>
      <c r="C160" s="94"/>
      <c r="D160" s="375"/>
      <c r="E160" s="349"/>
      <c r="F160" s="350"/>
      <c r="G160" s="350"/>
      <c r="H160" s="332"/>
      <c r="I160" s="351">
        <f>I159*1000/20.04</f>
        <v>2</v>
      </c>
      <c r="J160" s="351">
        <f>J159*1000/12.16</f>
        <v>0.49</v>
      </c>
      <c r="K160" s="351">
        <f>K159*1000/23</f>
        <v>1.1874999999999998</v>
      </c>
      <c r="L160" s="351">
        <f>L159*1000/39.1</f>
        <v>3.6764705882352942E-2</v>
      </c>
      <c r="M160" s="91"/>
      <c r="N160" s="352">
        <f>N159*1000/61.01</f>
        <v>0.43992788067529914</v>
      </c>
      <c r="O160" s="352">
        <f>O159*1000/35.46</f>
        <v>0.98999999999999988</v>
      </c>
      <c r="P160" s="351">
        <f>P159*1000/48.03</f>
        <v>2.3085571517801378</v>
      </c>
      <c r="Q160" s="351"/>
      <c r="R160" s="351"/>
      <c r="S160" s="351"/>
      <c r="T160" s="369"/>
      <c r="U160" s="335">
        <f>K160*10/((I160+J160)*10/2)^0.5</f>
        <v>3.3654949450117431</v>
      </c>
      <c r="V160" s="336"/>
      <c r="W160" s="337">
        <f>SUM(I160:L160)</f>
        <v>3.714264705882353</v>
      </c>
      <c r="X160" s="353">
        <f>SUM(N160:P160)</f>
        <v>3.7384850324554368</v>
      </c>
      <c r="Y160" s="134">
        <f>W160/X160</f>
        <v>0.99352135253643747</v>
      </c>
      <c r="Z160" s="354">
        <f>SUM(I159:P159)</f>
        <v>0.2476138</v>
      </c>
      <c r="AA160" s="35">
        <f>Z160/H159</f>
        <v>0.9170881481481481</v>
      </c>
      <c r="AC160" s="45"/>
    </row>
    <row r="161" spans="1:29" ht="15.75">
      <c r="A161" s="326"/>
      <c r="B161" s="326"/>
      <c r="C161" s="377"/>
      <c r="D161" s="378"/>
      <c r="E161" s="355" t="s">
        <v>587</v>
      </c>
      <c r="F161" s="331"/>
      <c r="G161" s="356">
        <f>SUM(I162:L162)</f>
        <v>3.6457058823529414</v>
      </c>
      <c r="H161" s="379">
        <v>0.26500000000000001</v>
      </c>
      <c r="I161" s="331">
        <v>4.0079999999999998E-2</v>
      </c>
      <c r="J161" s="357">
        <v>5.9584E-3</v>
      </c>
      <c r="K161" s="357">
        <v>2.5782999999999997E-2</v>
      </c>
      <c r="L161" s="352">
        <v>1.3569999999999999E-3</v>
      </c>
      <c r="M161" s="333"/>
      <c r="N161" s="357">
        <v>3.0499999999999999E-2</v>
      </c>
      <c r="O161" s="357">
        <v>3.5105399999999995E-2</v>
      </c>
      <c r="P161" s="357">
        <v>0.10464000000000001</v>
      </c>
      <c r="Q161" s="332"/>
      <c r="R161" s="332"/>
      <c r="S161" s="332"/>
      <c r="T161" s="332"/>
      <c r="U161" s="335"/>
      <c r="V161" s="336"/>
      <c r="W161" s="156"/>
      <c r="X161" s="156"/>
      <c r="Y161" s="337"/>
    </row>
    <row r="162" spans="1:29" s="35" customFormat="1" ht="15.75">
      <c r="A162" s="346"/>
      <c r="B162" s="347"/>
      <c r="C162" s="94"/>
      <c r="D162" s="375"/>
      <c r="E162" s="349"/>
      <c r="F162" s="350"/>
      <c r="G162" s="331"/>
      <c r="H162" s="332"/>
      <c r="I162" s="351">
        <f>I161*1000/20.04</f>
        <v>2</v>
      </c>
      <c r="J162" s="351">
        <f>J161*1000/12.16</f>
        <v>0.49</v>
      </c>
      <c r="K162" s="351">
        <f>K161*1000/23</f>
        <v>1.121</v>
      </c>
      <c r="L162" s="351">
        <f>L161*1000/39.1</f>
        <v>3.4705882352941177E-2</v>
      </c>
      <c r="M162" s="91"/>
      <c r="N162" s="352">
        <f>N161*1000/61.01</f>
        <v>0.49991804622193087</v>
      </c>
      <c r="O162" s="352">
        <f>O161*1000/35.46</f>
        <v>0.98999999999999988</v>
      </c>
      <c r="P162" s="351">
        <f>P161*1000/48.03</f>
        <v>2.1786383510306062</v>
      </c>
      <c r="Q162" s="351"/>
      <c r="R162" s="351"/>
      <c r="S162" s="351"/>
      <c r="T162" s="369"/>
      <c r="U162" s="335">
        <f>K162*10/((I162+J162)*10/2)^0.5</f>
        <v>3.1770272280910858</v>
      </c>
      <c r="V162" s="336"/>
      <c r="W162" s="337">
        <f>SUM(I162:L162)</f>
        <v>3.6457058823529414</v>
      </c>
      <c r="X162" s="353">
        <f>SUM(N162:P162)</f>
        <v>3.6685563972525372</v>
      </c>
      <c r="Y162" s="134">
        <f>W162/X162</f>
        <v>0.99377125157004287</v>
      </c>
      <c r="Z162" s="354">
        <f>SUM(I161:P161)</f>
        <v>0.2434238</v>
      </c>
      <c r="AA162" s="35">
        <f>Z162/H161</f>
        <v>0.91858037735849052</v>
      </c>
      <c r="AC162" s="45"/>
    </row>
    <row r="163" spans="1:29" ht="15.75">
      <c r="A163" s="326"/>
      <c r="B163" s="326"/>
      <c r="C163" s="377"/>
      <c r="D163" s="378"/>
      <c r="E163" s="340" t="s">
        <v>588</v>
      </c>
      <c r="F163" s="331"/>
      <c r="G163" s="356">
        <f>SUM(I164:L164)</f>
        <v>3.8854117647058826</v>
      </c>
      <c r="H163" s="379">
        <v>0.28999999999999998</v>
      </c>
      <c r="I163" s="357">
        <v>2.5049999999999999E-2</v>
      </c>
      <c r="J163" s="357">
        <v>1.2038400000000001E-2</v>
      </c>
      <c r="K163" s="357">
        <v>3.6707999999999998E-2</v>
      </c>
      <c r="L163" s="352">
        <v>1.9320000000000001E-3</v>
      </c>
      <c r="M163" s="333"/>
      <c r="N163" s="357">
        <v>3.0499999999999999E-2</v>
      </c>
      <c r="O163" s="357">
        <v>4.53888E-2</v>
      </c>
      <c r="P163" s="357">
        <v>0.10272000000000001</v>
      </c>
      <c r="Q163" s="332"/>
      <c r="R163" s="332"/>
      <c r="S163" s="332"/>
      <c r="T163" s="332"/>
      <c r="U163" s="335"/>
      <c r="V163" s="336"/>
      <c r="W163" s="156"/>
      <c r="X163" s="156"/>
      <c r="Y163" s="337"/>
    </row>
    <row r="164" spans="1:29" s="35" customFormat="1" ht="16.5" thickBot="1">
      <c r="A164" s="346"/>
      <c r="B164" s="347"/>
      <c r="C164" s="94"/>
      <c r="D164" s="375"/>
      <c r="E164" s="380"/>
      <c r="F164" s="400"/>
      <c r="G164" s="363"/>
      <c r="H164" s="358"/>
      <c r="I164" s="382">
        <f>I163*1000/20.04</f>
        <v>1.25</v>
      </c>
      <c r="J164" s="382">
        <f>J163*1000/12.16</f>
        <v>0.9900000000000001</v>
      </c>
      <c r="K164" s="382">
        <f>K163*1000/23</f>
        <v>1.5959999999999999</v>
      </c>
      <c r="L164" s="382">
        <f>L163*1000/39.1</f>
        <v>4.9411764705882356E-2</v>
      </c>
      <c r="M164" s="383"/>
      <c r="N164" s="384">
        <f>N163*1000/61.01</f>
        <v>0.49991804622193087</v>
      </c>
      <c r="O164" s="384">
        <f>O163*1000/35.46</f>
        <v>1.28</v>
      </c>
      <c r="P164" s="382">
        <f>P163*1000/48.03</f>
        <v>2.1386633354153655</v>
      </c>
      <c r="Q164" s="382"/>
      <c r="R164" s="382"/>
      <c r="S164" s="382"/>
      <c r="T164" s="401"/>
      <c r="U164" s="335">
        <f>K164*10/((I164+J164)*10/2)^0.5</f>
        <v>4.7689621512442306</v>
      </c>
      <c r="V164" s="408"/>
      <c r="W164" s="337">
        <f>SUM(I164:L164)</f>
        <v>3.8854117647058826</v>
      </c>
      <c r="X164" s="353">
        <f>SUM(N164:P164)</f>
        <v>3.9185813816372965</v>
      </c>
      <c r="Y164" s="134">
        <f>W164/X164</f>
        <v>0.99153529971666565</v>
      </c>
      <c r="Z164" s="354">
        <f>SUM(I163:P163)</f>
        <v>0.25433720000000004</v>
      </c>
      <c r="AA164" s="35">
        <f>Z164/H163</f>
        <v>0.87702482758620715</v>
      </c>
      <c r="AC164" s="45"/>
    </row>
    <row r="165" spans="1:29" ht="15.75">
      <c r="A165" s="386"/>
      <c r="B165" s="386" t="s">
        <v>358</v>
      </c>
      <c r="C165" s="368">
        <v>1</v>
      </c>
      <c r="D165" s="314"/>
      <c r="E165" s="315" t="s">
        <v>37</v>
      </c>
      <c r="F165" s="316"/>
      <c r="G165" s="356">
        <f>SUM(I166:L166)</f>
        <v>2.6469117647058824</v>
      </c>
      <c r="H165" s="388">
        <v>0.19500000000000001</v>
      </c>
      <c r="I165" s="388">
        <v>4.5089999999999998E-2</v>
      </c>
      <c r="J165" s="388">
        <v>3.0400000000000002E-3</v>
      </c>
      <c r="K165" s="388">
        <v>3.2774999999999996E-3</v>
      </c>
      <c r="L165" s="415">
        <v>1.7250000000000002E-4</v>
      </c>
      <c r="M165" s="320"/>
      <c r="N165" s="388">
        <v>2.6839999999999999E-2</v>
      </c>
      <c r="O165" s="388">
        <v>4.1842799999999999E-2</v>
      </c>
      <c r="P165" s="388">
        <v>4.9440000000000005E-2</v>
      </c>
      <c r="Q165" s="324"/>
      <c r="R165" s="416"/>
      <c r="S165" s="323"/>
      <c r="T165" s="323"/>
      <c r="U165" s="324"/>
      <c r="V165" s="325"/>
      <c r="W165" s="156"/>
      <c r="X165" s="156"/>
      <c r="Y165" s="337"/>
      <c r="Z165" s="35"/>
      <c r="AA165" s="35"/>
    </row>
    <row r="166" spans="1:29" ht="15.75">
      <c r="A166" s="326"/>
      <c r="B166" s="327">
        <v>2</v>
      </c>
      <c r="C166" s="328"/>
      <c r="D166" s="405"/>
      <c r="E166" s="330"/>
      <c r="F166" s="331"/>
      <c r="H166" s="332"/>
      <c r="I166" s="332">
        <f>I165*1000/20.04</f>
        <v>2.25</v>
      </c>
      <c r="J166" s="332">
        <f>J165*1000/12.16</f>
        <v>0.25</v>
      </c>
      <c r="K166" s="332">
        <f>K165*1000/23</f>
        <v>0.14249999999999999</v>
      </c>
      <c r="L166" s="332">
        <f>L165*1000/39.1</f>
        <v>4.4117647058823529E-3</v>
      </c>
      <c r="M166" s="333"/>
      <c r="N166" s="334">
        <f>N165*1000/61.01</f>
        <v>0.43992788067529914</v>
      </c>
      <c r="O166" s="334">
        <f>O165*1000/35.46</f>
        <v>1.18</v>
      </c>
      <c r="P166" s="332">
        <f>P165*1000/48.03</f>
        <v>1.0293566520924422</v>
      </c>
      <c r="Q166" s="332"/>
      <c r="R166" s="332"/>
      <c r="S166" s="332"/>
      <c r="T166" s="345"/>
      <c r="U166" s="335">
        <f>K166*10/((I166+J166)*10/2)^0.5</f>
        <v>0.40305086527633205</v>
      </c>
      <c r="V166" s="376" t="e">
        <f>S165/(Q165+R165+S165+T165)*100</f>
        <v>#DIV/0!</v>
      </c>
      <c r="W166" s="337">
        <f>SUM(I166:L166)</f>
        <v>2.6469117647058824</v>
      </c>
      <c r="X166" s="338">
        <f>SUM(N166:P166)</f>
        <v>2.6492845327677412</v>
      </c>
      <c r="Y166" s="337">
        <f>W166/X166</f>
        <v>0.99910437401777308</v>
      </c>
      <c r="Z166" s="280">
        <f>SUM(I165:P165)</f>
        <v>0.16970280000000001</v>
      </c>
      <c r="AA166" s="45">
        <f>Z166/H165</f>
        <v>0.87027076923076929</v>
      </c>
    </row>
    <row r="167" spans="1:29" ht="15.75">
      <c r="A167" s="326"/>
      <c r="B167" s="326"/>
      <c r="C167" s="377"/>
      <c r="D167" s="390"/>
      <c r="E167" s="340" t="s">
        <v>586</v>
      </c>
      <c r="F167" s="331"/>
      <c r="G167" s="356">
        <f>SUM(I168:L168)</f>
        <v>2.2252647058823531</v>
      </c>
      <c r="H167" s="379">
        <v>0.16</v>
      </c>
      <c r="I167" s="331">
        <v>3.5069999999999997E-2</v>
      </c>
      <c r="J167" s="379">
        <v>3.0400000000000002E-3</v>
      </c>
      <c r="K167" s="379">
        <v>5.0255000000000005E-3</v>
      </c>
      <c r="L167" s="352">
        <v>2.6450000000000003E-4</v>
      </c>
      <c r="M167" s="333"/>
      <c r="N167" s="357">
        <v>2.6839999999999999E-2</v>
      </c>
      <c r="O167" s="357">
        <v>3.1559400000000001E-2</v>
      </c>
      <c r="P167" s="357">
        <v>4.3200000000000002E-2</v>
      </c>
      <c r="Q167" s="418"/>
      <c r="R167" s="419"/>
      <c r="S167" s="369"/>
      <c r="T167" s="369"/>
      <c r="U167" s="335"/>
      <c r="V167" s="336"/>
      <c r="W167" s="156"/>
      <c r="X167" s="156"/>
      <c r="Y167" s="337"/>
      <c r="Z167" s="35"/>
      <c r="AA167" s="35"/>
    </row>
    <row r="168" spans="1:29" s="35" customFormat="1" ht="15.75">
      <c r="A168" s="346"/>
      <c r="B168" s="347"/>
      <c r="C168" s="94"/>
      <c r="D168" s="375"/>
      <c r="E168" s="349"/>
      <c r="F168" s="350"/>
      <c r="G168" s="350"/>
      <c r="H168" s="332"/>
      <c r="I168" s="351">
        <f>I167*1000/20.04</f>
        <v>1.75</v>
      </c>
      <c r="J168" s="351">
        <f>J167*1000/12.16</f>
        <v>0.25</v>
      </c>
      <c r="K168" s="351">
        <f>K167*1000/23</f>
        <v>0.2185</v>
      </c>
      <c r="L168" s="351">
        <f>L167*1000/39.1</f>
        <v>6.7647058823529409E-3</v>
      </c>
      <c r="M168" s="91"/>
      <c r="N168" s="352">
        <f>N167*1000/61.01</f>
        <v>0.43992788067529914</v>
      </c>
      <c r="O168" s="352">
        <f>O167*1000/35.46</f>
        <v>0.89</v>
      </c>
      <c r="P168" s="351">
        <f>P167*1000/48.03</f>
        <v>0.89943785134291077</v>
      </c>
      <c r="Q168" s="351"/>
      <c r="R168" s="351"/>
      <c r="S168" s="351"/>
      <c r="T168" s="369"/>
      <c r="U168" s="335">
        <f>K168*10/((I168+J168)*10/2)^0.5</f>
        <v>0.69095766874679088</v>
      </c>
      <c r="V168" s="376" t="e">
        <f>S167/(Q167+R167+S167+T167)*100</f>
        <v>#DIV/0!</v>
      </c>
      <c r="W168" s="337">
        <f>SUM(I168:L168)</f>
        <v>2.2252647058823531</v>
      </c>
      <c r="X168" s="353">
        <f>SUM(N168:P168)</f>
        <v>2.2293657320182101</v>
      </c>
      <c r="Y168" s="134">
        <f>W168/X168</f>
        <v>0.99816045161322886</v>
      </c>
      <c r="Z168" s="354">
        <f>SUM(I167:P167)</f>
        <v>0.1449994</v>
      </c>
      <c r="AA168" s="35">
        <f>Z168/H167</f>
        <v>0.90624625000000003</v>
      </c>
      <c r="AC168" s="45"/>
    </row>
    <row r="169" spans="1:29" ht="15.75">
      <c r="A169" s="326"/>
      <c r="B169" s="326"/>
      <c r="C169" s="377"/>
      <c r="D169" s="390"/>
      <c r="E169" s="355" t="s">
        <v>587</v>
      </c>
      <c r="F169" s="331"/>
      <c r="G169" s="356">
        <f>SUM(I170:L170)</f>
        <v>2.4211470588235295</v>
      </c>
      <c r="H169" s="379">
        <v>0.185</v>
      </c>
      <c r="I169" s="331">
        <v>3.5069999999999997E-2</v>
      </c>
      <c r="J169" s="379">
        <v>3.0400000000000002E-3</v>
      </c>
      <c r="K169" s="379">
        <v>9.3954999999999993E-3</v>
      </c>
      <c r="L169" s="352">
        <v>4.9450000000000004E-4</v>
      </c>
      <c r="M169" s="333"/>
      <c r="N169" s="357">
        <v>2.6839999999999999E-2</v>
      </c>
      <c r="O169" s="357">
        <v>2.8013400000000001E-2</v>
      </c>
      <c r="P169" s="357">
        <v>5.7599999999999998E-2</v>
      </c>
      <c r="Q169" s="418"/>
      <c r="R169" s="419"/>
      <c r="S169" s="369"/>
      <c r="T169" s="369"/>
      <c r="U169" s="335"/>
      <c r="V169" s="336"/>
      <c r="W169" s="156"/>
      <c r="X169" s="156"/>
      <c r="Y169" s="337"/>
      <c r="Z169" s="35"/>
      <c r="AA169" s="35"/>
    </row>
    <row r="170" spans="1:29" s="35" customFormat="1" ht="15.75">
      <c r="A170" s="346"/>
      <c r="B170" s="347"/>
      <c r="C170" s="94"/>
      <c r="D170" s="375"/>
      <c r="E170" s="349"/>
      <c r="F170" s="350"/>
      <c r="G170" s="331"/>
      <c r="H170" s="332"/>
      <c r="I170" s="351">
        <f>I169*1000/20.04</f>
        <v>1.75</v>
      </c>
      <c r="J170" s="351">
        <f>J169*1000/12.16</f>
        <v>0.25</v>
      </c>
      <c r="K170" s="351">
        <f>K169*1000/23</f>
        <v>0.40850000000000003</v>
      </c>
      <c r="L170" s="351">
        <f>L169*1000/39.1</f>
        <v>1.2647058823529412E-2</v>
      </c>
      <c r="M170" s="91"/>
      <c r="N170" s="352">
        <f>N169*1000/61.01</f>
        <v>0.43992788067529914</v>
      </c>
      <c r="O170" s="352">
        <f>O169*1000/35.46</f>
        <v>0.79</v>
      </c>
      <c r="P170" s="351">
        <f>P169*1000/48.03</f>
        <v>1.1992504684572143</v>
      </c>
      <c r="Q170" s="351"/>
      <c r="R170" s="351"/>
      <c r="S170" s="351"/>
      <c r="T170" s="369"/>
      <c r="U170" s="335">
        <f>K170*10/((I170+J170)*10/2)^0.5</f>
        <v>1.2917904241787828</v>
      </c>
      <c r="V170" s="376" t="e">
        <f>S169/(Q169+R169+S169+T169)*100</f>
        <v>#DIV/0!</v>
      </c>
      <c r="W170" s="337">
        <f>SUM(I170:L170)</f>
        <v>2.4211470588235295</v>
      </c>
      <c r="X170" s="353">
        <f>SUM(N170:P170)</f>
        <v>2.4291783491325134</v>
      </c>
      <c r="Y170" s="134">
        <f>W170/X170</f>
        <v>0.99669382434935172</v>
      </c>
      <c r="Z170" s="354">
        <f>SUM(I169:P169)</f>
        <v>0.16045340000000002</v>
      </c>
      <c r="AA170" s="35">
        <f>Z170/H169</f>
        <v>0.8673156756756758</v>
      </c>
      <c r="AC170" s="45"/>
    </row>
    <row r="171" spans="1:29" ht="15.75">
      <c r="A171" s="326"/>
      <c r="B171" s="326"/>
      <c r="C171" s="377"/>
      <c r="D171" s="390"/>
      <c r="E171" s="340" t="s">
        <v>588</v>
      </c>
      <c r="F171" s="331"/>
      <c r="G171" s="356">
        <f>SUM(I172:L172)</f>
        <v>2.8959117647058816</v>
      </c>
      <c r="H171" s="379">
        <v>0.21</v>
      </c>
      <c r="I171" s="379">
        <v>3.0059999999999996E-2</v>
      </c>
      <c r="J171" s="379">
        <v>3.0400000000000002E-3</v>
      </c>
      <c r="K171" s="379">
        <v>2.5564499999999997E-2</v>
      </c>
      <c r="L171" s="352">
        <v>1.3454999999999999E-3</v>
      </c>
      <c r="M171" s="333"/>
      <c r="N171" s="357">
        <v>3.2940000000000004E-2</v>
      </c>
      <c r="O171" s="357">
        <v>2.8013400000000001E-2</v>
      </c>
      <c r="P171" s="357">
        <v>7.6319999999999999E-2</v>
      </c>
      <c r="Q171" s="418"/>
      <c r="R171" s="419"/>
      <c r="S171" s="369"/>
      <c r="T171" s="369"/>
      <c r="U171" s="335"/>
      <c r="V171" s="336"/>
      <c r="W171" s="156"/>
      <c r="X171" s="156"/>
      <c r="Y171" s="337"/>
    </row>
    <row r="172" spans="1:29" s="35" customFormat="1" ht="16.5" thickBot="1">
      <c r="A172" s="391"/>
      <c r="B172" s="392"/>
      <c r="C172" s="132"/>
      <c r="D172" s="393"/>
      <c r="E172" s="394"/>
      <c r="F172" s="381"/>
      <c r="G172" s="363"/>
      <c r="H172" s="364"/>
      <c r="I172" s="395">
        <f>I171*1000/20.04</f>
        <v>1.4999999999999998</v>
      </c>
      <c r="J172" s="395">
        <f>J171*1000/12.16</f>
        <v>0.25</v>
      </c>
      <c r="K172" s="395">
        <f>K171*1000/23</f>
        <v>1.1114999999999997</v>
      </c>
      <c r="L172" s="395">
        <f>L171*1000/39.1</f>
        <v>3.441176470588235E-2</v>
      </c>
      <c r="M172" s="396"/>
      <c r="N172" s="397">
        <f>N171*1000/61.01</f>
        <v>0.53991148991968541</v>
      </c>
      <c r="O172" s="397">
        <f>O171*1000/35.46</f>
        <v>0.79</v>
      </c>
      <c r="P172" s="395">
        <f>P171*1000/48.03</f>
        <v>1.5890068707058087</v>
      </c>
      <c r="Q172" s="395"/>
      <c r="R172" s="395"/>
      <c r="S172" s="395"/>
      <c r="T172" s="428"/>
      <c r="U172" s="335">
        <f>K172*10/((I172+J172)*10/2)^0.5</f>
        <v>3.7575558165229839</v>
      </c>
      <c r="V172" s="425" t="e">
        <f>S171/(Q171+R171+S171+T171)*100</f>
        <v>#DIV/0!</v>
      </c>
      <c r="W172" s="337">
        <f>SUM(I172:L172)</f>
        <v>2.8959117647058816</v>
      </c>
      <c r="X172" s="353">
        <f>SUM(N172:P172)</f>
        <v>2.918918360625494</v>
      </c>
      <c r="Y172" s="134">
        <f>W172/X172</f>
        <v>0.99211810914962273</v>
      </c>
      <c r="Z172" s="354">
        <f>SUM(I171:P171)</f>
        <v>0.1972834</v>
      </c>
      <c r="AA172" s="35">
        <f>Z172/H171</f>
        <v>0.93944476190476189</v>
      </c>
      <c r="AC172" s="45"/>
    </row>
    <row r="173" spans="1:29" ht="15.75">
      <c r="A173" s="326"/>
      <c r="B173" s="326" t="s">
        <v>358</v>
      </c>
      <c r="C173" s="377">
        <v>2</v>
      </c>
      <c r="D173" s="314"/>
      <c r="E173" s="355" t="s">
        <v>37</v>
      </c>
      <c r="F173" s="342"/>
      <c r="G173" s="356">
        <f>SUM(I174:L174)</f>
        <v>6.363029411764705</v>
      </c>
      <c r="H173" s="343">
        <v>0.48499999999999999</v>
      </c>
      <c r="I173" s="343">
        <v>3.0059999999999996E-2</v>
      </c>
      <c r="J173" s="343">
        <v>3.0400000000000002E-3</v>
      </c>
      <c r="K173" s="343">
        <v>0.10291349999999999</v>
      </c>
      <c r="L173" s="344">
        <v>5.4165000000000003E-3</v>
      </c>
      <c r="M173" s="372"/>
      <c r="N173" s="343">
        <v>3.0499999999999999E-2</v>
      </c>
      <c r="O173" s="343">
        <v>3.5105399999999995E-2</v>
      </c>
      <c r="P173" s="343">
        <v>0.23855999999999999</v>
      </c>
      <c r="Q173" s="345"/>
      <c r="R173" s="345"/>
      <c r="S173" s="345"/>
      <c r="T173" s="345"/>
      <c r="U173" s="324"/>
      <c r="V173" s="374"/>
      <c r="W173" s="156"/>
      <c r="X173" s="156"/>
      <c r="Y173" s="337"/>
      <c r="Z173" s="35"/>
      <c r="AA173" s="35"/>
    </row>
    <row r="174" spans="1:29" s="35" customFormat="1" ht="15.75">
      <c r="A174" s="346"/>
      <c r="B174" s="347">
        <v>2</v>
      </c>
      <c r="C174" s="94"/>
      <c r="D174" s="375"/>
      <c r="E174" s="349"/>
      <c r="F174" s="350"/>
      <c r="G174" s="281"/>
      <c r="H174" s="332"/>
      <c r="I174" s="351">
        <f>I173*1000/20.04</f>
        <v>1.4999999999999998</v>
      </c>
      <c r="J174" s="351">
        <f>J173*1000/12.16</f>
        <v>0.25</v>
      </c>
      <c r="K174" s="351">
        <f>K173*1000/23</f>
        <v>4.474499999999999</v>
      </c>
      <c r="L174" s="351">
        <f>L173*1000/39.1</f>
        <v>0.13852941176470587</v>
      </c>
      <c r="M174" s="91"/>
      <c r="N174" s="352">
        <f>N173*1000/61.01</f>
        <v>0.49991804622193087</v>
      </c>
      <c r="O174" s="352">
        <f>O173*1000/35.46</f>
        <v>0.98999999999999988</v>
      </c>
      <c r="P174" s="351">
        <f>P173*1000/48.03</f>
        <v>4.9668956901936285</v>
      </c>
      <c r="Q174" s="351"/>
      <c r="R174" s="351"/>
      <c r="S174" s="351"/>
      <c r="T174" s="369"/>
      <c r="U174" s="335">
        <f>K174*10/((I174+J174)*10/2)^0.5</f>
        <v>15.126570851130989</v>
      </c>
      <c r="V174" s="336"/>
      <c r="W174" s="337">
        <f>SUM(I174:L174)</f>
        <v>6.363029411764705</v>
      </c>
      <c r="X174" s="353">
        <f>SUM(N174:P174)</f>
        <v>6.4568137364155591</v>
      </c>
      <c r="Y174" s="134">
        <f>W174/X174</f>
        <v>0.98547513859321612</v>
      </c>
      <c r="Z174" s="354">
        <f>SUM(I173:P173)</f>
        <v>0.44559539999999997</v>
      </c>
      <c r="AA174" s="35">
        <f>Z174/H173</f>
        <v>0.91875340206185563</v>
      </c>
      <c r="AC174" s="45"/>
    </row>
    <row r="175" spans="1:29" ht="15.75">
      <c r="A175" s="326"/>
      <c r="B175" s="326"/>
      <c r="C175" s="377"/>
      <c r="D175" s="378"/>
      <c r="E175" s="340" t="s">
        <v>586</v>
      </c>
      <c r="F175" s="331"/>
      <c r="G175" s="356">
        <f>SUM(I176:L176)</f>
        <v>3.6498529411764706</v>
      </c>
      <c r="H175" s="379">
        <v>0.27</v>
      </c>
      <c r="I175" s="331">
        <v>2.5049999999999999E-2</v>
      </c>
      <c r="J175" s="357">
        <v>5.9584E-3</v>
      </c>
      <c r="K175" s="357">
        <v>4.26075E-2</v>
      </c>
      <c r="L175" s="352">
        <v>2.2425000000000001E-3</v>
      </c>
      <c r="M175" s="333"/>
      <c r="N175" s="357">
        <v>3.0499999999999999E-2</v>
      </c>
      <c r="O175" s="357">
        <v>2.8013400000000001E-2</v>
      </c>
      <c r="P175" s="357">
        <v>0.1152</v>
      </c>
      <c r="Q175" s="332"/>
      <c r="R175" s="332"/>
      <c r="S175" s="332"/>
      <c r="T175" s="332"/>
      <c r="U175" s="335"/>
      <c r="V175" s="336"/>
      <c r="W175" s="156"/>
      <c r="X175" s="156"/>
      <c r="Y175" s="337"/>
    </row>
    <row r="176" spans="1:29" s="35" customFormat="1" ht="15.75">
      <c r="A176" s="346"/>
      <c r="B176" s="347"/>
      <c r="C176" s="94"/>
      <c r="D176" s="375"/>
      <c r="E176" s="349"/>
      <c r="F176" s="350"/>
      <c r="G176" s="350"/>
      <c r="H176" s="332"/>
      <c r="I176" s="351">
        <f>I175*1000/20.04</f>
        <v>1.25</v>
      </c>
      <c r="J176" s="351">
        <f>J175*1000/12.16</f>
        <v>0.49</v>
      </c>
      <c r="K176" s="351">
        <f>K175*1000/23</f>
        <v>1.8525</v>
      </c>
      <c r="L176" s="351">
        <f>L175*1000/39.1</f>
        <v>5.7352941176470593E-2</v>
      </c>
      <c r="M176" s="91"/>
      <c r="N176" s="352">
        <f>N175*1000/61.01</f>
        <v>0.49991804622193087</v>
      </c>
      <c r="O176" s="352">
        <f>O175*1000/35.46</f>
        <v>0.79</v>
      </c>
      <c r="P176" s="351">
        <f>P175*1000/48.03</f>
        <v>2.3985009369144286</v>
      </c>
      <c r="Q176" s="351"/>
      <c r="R176" s="351"/>
      <c r="S176" s="351"/>
      <c r="T176" s="369"/>
      <c r="U176" s="335">
        <f>K176*10/((I176+J176)*10/2)^0.5</f>
        <v>6.2805632022877562</v>
      </c>
      <c r="V176" s="336"/>
      <c r="W176" s="337">
        <f>SUM(I176:L176)</f>
        <v>3.6498529411764706</v>
      </c>
      <c r="X176" s="353">
        <f>SUM(N176:P176)</f>
        <v>3.6884189831363594</v>
      </c>
      <c r="Y176" s="134">
        <f>W176/X176</f>
        <v>0.98954401814538573</v>
      </c>
      <c r="Z176" s="354">
        <f>SUM(I175:P175)</f>
        <v>0.24957179999999998</v>
      </c>
      <c r="AA176" s="35">
        <f>Z176/H175</f>
        <v>0.92433999999999983</v>
      </c>
      <c r="AC176" s="45"/>
    </row>
    <row r="177" spans="1:29" ht="15.75">
      <c r="A177" s="326"/>
      <c r="B177" s="326"/>
      <c r="C177" s="377"/>
      <c r="D177" s="378"/>
      <c r="E177" s="355" t="s">
        <v>587</v>
      </c>
      <c r="F177" s="331"/>
      <c r="G177" s="356">
        <f>SUM(I178:L178)</f>
        <v>2.2147647058823532</v>
      </c>
      <c r="H177" s="379">
        <v>0.16500000000000001</v>
      </c>
      <c r="I177" s="331">
        <v>2.0039999999999999E-2</v>
      </c>
      <c r="J177" s="357">
        <v>5.9584E-3</v>
      </c>
      <c r="K177" s="357">
        <v>1.6168999999999999E-2</v>
      </c>
      <c r="L177" s="352">
        <v>8.5100000000000009E-4</v>
      </c>
      <c r="M177" s="333"/>
      <c r="N177" s="357">
        <v>3.0499999999999999E-2</v>
      </c>
      <c r="O177" s="357">
        <v>1.7375399999999999E-2</v>
      </c>
      <c r="P177" s="357">
        <v>5.9520000000000003E-2</v>
      </c>
      <c r="Q177" s="332"/>
      <c r="R177" s="332"/>
      <c r="S177" s="332"/>
      <c r="T177" s="332"/>
      <c r="U177" s="335"/>
      <c r="V177" s="336"/>
      <c r="W177" s="156"/>
      <c r="X177" s="156"/>
      <c r="Y177" s="337"/>
    </row>
    <row r="178" spans="1:29" s="35" customFormat="1" ht="15.75">
      <c r="A178" s="346"/>
      <c r="B178" s="347"/>
      <c r="C178" s="94"/>
      <c r="D178" s="375"/>
      <c r="E178" s="349"/>
      <c r="F178" s="350"/>
      <c r="G178" s="331"/>
      <c r="H178" s="332"/>
      <c r="I178" s="351">
        <f>I177*1000/20.04</f>
        <v>1</v>
      </c>
      <c r="J178" s="351">
        <f>J177*1000/12.16</f>
        <v>0.49</v>
      </c>
      <c r="K178" s="351">
        <f>K177*1000/23</f>
        <v>0.70300000000000007</v>
      </c>
      <c r="L178" s="351">
        <f>L177*1000/39.1</f>
        <v>2.1764705882352943E-2</v>
      </c>
      <c r="M178" s="91"/>
      <c r="N178" s="352">
        <f>N177*1000/61.01</f>
        <v>0.49991804622193087</v>
      </c>
      <c r="O178" s="352">
        <f>O177*1000/35.46</f>
        <v>0.48999999999999994</v>
      </c>
      <c r="P178" s="351">
        <f>P177*1000/48.03</f>
        <v>1.2392254840724548</v>
      </c>
      <c r="Q178" s="351"/>
      <c r="R178" s="351"/>
      <c r="S178" s="351"/>
      <c r="T178" s="369"/>
      <c r="U178" s="335">
        <f>K178*10/((I178+J178)*10/2)^0.5</f>
        <v>2.5755927186473011</v>
      </c>
      <c r="V178" s="336"/>
      <c r="W178" s="337">
        <f>SUM(I178:L178)</f>
        <v>2.2147647058823532</v>
      </c>
      <c r="X178" s="353">
        <f>SUM(N178:P178)</f>
        <v>2.2291435302943858</v>
      </c>
      <c r="Y178" s="134">
        <f>W178/X178</f>
        <v>0.99354961929699803</v>
      </c>
      <c r="Z178" s="354">
        <f>SUM(I177:P177)</f>
        <v>0.15041379999999999</v>
      </c>
      <c r="AA178" s="35">
        <f>Z178/H177</f>
        <v>0.91159878787878779</v>
      </c>
      <c r="AC178" s="45"/>
    </row>
    <row r="179" spans="1:29" ht="15.75">
      <c r="A179" s="326"/>
      <c r="B179" s="326"/>
      <c r="C179" s="377"/>
      <c r="D179" s="378"/>
      <c r="E179" s="340" t="s">
        <v>588</v>
      </c>
      <c r="F179" s="331"/>
      <c r="G179" s="356">
        <f>SUM(I180:L180)</f>
        <v>2.7046764705882351</v>
      </c>
      <c r="H179" s="379">
        <v>0.19500000000000001</v>
      </c>
      <c r="I179" s="357">
        <v>2.5049999999999999E-2</v>
      </c>
      <c r="J179" s="357">
        <v>3.0400000000000002E-3</v>
      </c>
      <c r="K179" s="357">
        <v>2.6875499999999997E-2</v>
      </c>
      <c r="L179" s="352">
        <v>1.4145E-3</v>
      </c>
      <c r="M179" s="333"/>
      <c r="N179" s="357">
        <v>3.0499999999999999E-2</v>
      </c>
      <c r="O179" s="357">
        <v>2.4467399999999997E-2</v>
      </c>
      <c r="P179" s="357">
        <v>7.392E-2</v>
      </c>
      <c r="Q179" s="332"/>
      <c r="R179" s="332"/>
      <c r="S179" s="332"/>
      <c r="T179" s="332"/>
      <c r="U179" s="335"/>
      <c r="V179" s="336"/>
      <c r="W179" s="156"/>
      <c r="X179" s="156"/>
      <c r="Y179" s="337"/>
    </row>
    <row r="180" spans="1:29" s="35" customFormat="1" ht="16.5" thickBot="1">
      <c r="A180" s="346"/>
      <c r="B180" s="347"/>
      <c r="C180" s="94"/>
      <c r="D180" s="375"/>
      <c r="E180" s="380"/>
      <c r="F180" s="400"/>
      <c r="G180" s="363"/>
      <c r="H180" s="358"/>
      <c r="I180" s="382">
        <f>I179*1000/20.04</f>
        <v>1.25</v>
      </c>
      <c r="J180" s="382">
        <f>J179*1000/12.16</f>
        <v>0.25</v>
      </c>
      <c r="K180" s="382">
        <f>K179*1000/23</f>
        <v>1.1684999999999999</v>
      </c>
      <c r="L180" s="382">
        <f>L179*1000/39.1</f>
        <v>3.6176470588235289E-2</v>
      </c>
      <c r="M180" s="383"/>
      <c r="N180" s="384">
        <f>N179*1000/61.01</f>
        <v>0.49991804622193087</v>
      </c>
      <c r="O180" s="384">
        <f>O179*1000/35.46</f>
        <v>0.69</v>
      </c>
      <c r="P180" s="382">
        <f>P179*1000/48.03</f>
        <v>1.5390381011867582</v>
      </c>
      <c r="Q180" s="382"/>
      <c r="R180" s="382"/>
      <c r="S180" s="382"/>
      <c r="T180" s="401"/>
      <c r="U180" s="335">
        <f>K180*10/((I180+J180)*10/2)^0.5</f>
        <v>4.2667587229652435</v>
      </c>
      <c r="V180" s="408"/>
      <c r="W180" s="337">
        <f>SUM(I180:L180)</f>
        <v>2.7046764705882351</v>
      </c>
      <c r="X180" s="353">
        <f>SUM(N180:P180)</f>
        <v>2.728956147408689</v>
      </c>
      <c r="Y180" s="134">
        <f>W180/X180</f>
        <v>0.99110294357660933</v>
      </c>
      <c r="Z180" s="354">
        <f>SUM(I179:P179)</f>
        <v>0.1852674</v>
      </c>
      <c r="AA180" s="35">
        <f>Z180/H179</f>
        <v>0.95008923076923069</v>
      </c>
      <c r="AC180" s="45"/>
    </row>
    <row r="181" spans="1:29" ht="15.75">
      <c r="A181" s="386"/>
      <c r="B181" s="386" t="s">
        <v>358</v>
      </c>
      <c r="C181" s="368">
        <v>2</v>
      </c>
      <c r="D181" s="314"/>
      <c r="E181" s="315" t="s">
        <v>37</v>
      </c>
      <c r="F181" s="316"/>
      <c r="G181" s="356">
        <f>SUM(I182:L182)</f>
        <v>2.7201176470588235</v>
      </c>
      <c r="H181" s="388">
        <v>0.19</v>
      </c>
      <c r="I181" s="388">
        <v>4.0079999999999998E-2</v>
      </c>
      <c r="J181" s="388">
        <v>3.0400000000000002E-3</v>
      </c>
      <c r="K181" s="388">
        <v>1.0487999999999999E-2</v>
      </c>
      <c r="L181" s="415">
        <v>5.5199999999999997E-4</v>
      </c>
      <c r="M181" s="320"/>
      <c r="N181" s="388">
        <v>3.0499999999999999E-2</v>
      </c>
      <c r="O181" s="388">
        <v>3.5105399999999995E-2</v>
      </c>
      <c r="P181" s="388">
        <v>5.9520000000000003E-2</v>
      </c>
      <c r="Q181" s="324"/>
      <c r="R181" s="416"/>
      <c r="S181" s="323"/>
      <c r="T181" s="323"/>
      <c r="U181" s="324"/>
      <c r="V181" s="325"/>
      <c r="W181" s="156"/>
      <c r="X181" s="156"/>
      <c r="Y181" s="337"/>
      <c r="Z181" s="35"/>
      <c r="AA181" s="35"/>
    </row>
    <row r="182" spans="1:29" ht="15.75">
      <c r="A182" s="326"/>
      <c r="B182" s="327">
        <v>1</v>
      </c>
      <c r="C182" s="328"/>
      <c r="D182" s="405"/>
      <c r="E182" s="330"/>
      <c r="F182" s="331"/>
      <c r="H182" s="332"/>
      <c r="I182" s="332">
        <f>I181*1000/20.04</f>
        <v>2</v>
      </c>
      <c r="J182" s="332">
        <f>J181*1000/12.16</f>
        <v>0.25</v>
      </c>
      <c r="K182" s="332">
        <f>K181*1000/23</f>
        <v>0.45599999999999996</v>
      </c>
      <c r="L182" s="332">
        <f>L181*1000/39.1</f>
        <v>1.4117647058823526E-2</v>
      </c>
      <c r="M182" s="333"/>
      <c r="N182" s="334">
        <f>N181*1000/61.01</f>
        <v>0.49991804622193087</v>
      </c>
      <c r="O182" s="334">
        <f>O181*1000/35.46</f>
        <v>0.98999999999999988</v>
      </c>
      <c r="P182" s="332">
        <f>P181*1000/48.03</f>
        <v>1.2392254840724548</v>
      </c>
      <c r="Q182" s="332"/>
      <c r="R182" s="332"/>
      <c r="S182" s="332"/>
      <c r="T182" s="345"/>
      <c r="U182" s="335">
        <f>K182*10/((I182+J182)*10/2)^0.5</f>
        <v>1.3595293303198719</v>
      </c>
      <c r="V182" s="376" t="e">
        <f>S181/(Q181+R181+S181+T181)*100</f>
        <v>#DIV/0!</v>
      </c>
      <c r="W182" s="337">
        <f>SUM(I182:L182)</f>
        <v>2.7201176470588235</v>
      </c>
      <c r="X182" s="338">
        <f>SUM(N182:P182)</f>
        <v>2.7291435302943858</v>
      </c>
      <c r="Y182" s="337">
        <f>W182/X182</f>
        <v>0.99669277810588852</v>
      </c>
      <c r="Z182" s="280">
        <f>SUM(I181:P181)</f>
        <v>0.17928539999999998</v>
      </c>
      <c r="AA182" s="45">
        <f>Z182/H181</f>
        <v>0.94360736842105253</v>
      </c>
    </row>
    <row r="183" spans="1:29" ht="15.75">
      <c r="A183" s="326"/>
      <c r="B183" s="326"/>
      <c r="C183" s="377"/>
      <c r="D183" s="390"/>
      <c r="E183" s="340" t="s">
        <v>586</v>
      </c>
      <c r="F183" s="331"/>
      <c r="G183" s="356">
        <f>SUM(I184:L184)</f>
        <v>2.4792058823529408</v>
      </c>
      <c r="H183" s="379">
        <v>0.18</v>
      </c>
      <c r="I183" s="331">
        <v>1.5029999999999998E-2</v>
      </c>
      <c r="J183" s="379">
        <v>8.9984000000000001E-3</v>
      </c>
      <c r="K183" s="379">
        <v>2.2068500000000001E-2</v>
      </c>
      <c r="L183" s="352">
        <v>1.1615E-3</v>
      </c>
      <c r="M183" s="333"/>
      <c r="N183" s="357">
        <v>3.0499999999999999E-2</v>
      </c>
      <c r="O183" s="357">
        <v>3.1559400000000001E-2</v>
      </c>
      <c r="P183" s="357">
        <v>5.3280000000000008E-2</v>
      </c>
      <c r="Q183" s="418"/>
      <c r="R183" s="419"/>
      <c r="S183" s="369"/>
      <c r="T183" s="369"/>
      <c r="U183" s="335"/>
      <c r="V183" s="336"/>
      <c r="W183" s="156"/>
      <c r="X183" s="156"/>
      <c r="Y183" s="337"/>
      <c r="Z183" s="35"/>
      <c r="AA183" s="35"/>
    </row>
    <row r="184" spans="1:29" s="35" customFormat="1" ht="15.75">
      <c r="A184" s="346"/>
      <c r="B184" s="347"/>
      <c r="C184" s="94"/>
      <c r="D184" s="375"/>
      <c r="E184" s="349"/>
      <c r="F184" s="350"/>
      <c r="G184" s="350"/>
      <c r="H184" s="332"/>
      <c r="I184" s="351">
        <f>I183*1000/20.04</f>
        <v>0.74999999999999989</v>
      </c>
      <c r="J184" s="351">
        <f>J183*1000/12.16</f>
        <v>0.74</v>
      </c>
      <c r="K184" s="351">
        <f>K183*1000/23</f>
        <v>0.95950000000000002</v>
      </c>
      <c r="L184" s="351">
        <f>L183*1000/39.1</f>
        <v>2.9705882352941176E-2</v>
      </c>
      <c r="M184" s="91"/>
      <c r="N184" s="352">
        <f>N183*1000/61.01</f>
        <v>0.49991804622193087</v>
      </c>
      <c r="O184" s="352">
        <f>O183*1000/35.46</f>
        <v>0.89</v>
      </c>
      <c r="P184" s="351">
        <f>P183*1000/48.03</f>
        <v>1.1093066833229233</v>
      </c>
      <c r="Q184" s="351"/>
      <c r="R184" s="351"/>
      <c r="S184" s="351"/>
      <c r="T184" s="369"/>
      <c r="U184" s="335">
        <f>K184*10/((I184+J184)*10/2)^0.5</f>
        <v>3.5153360078834783</v>
      </c>
      <c r="V184" s="376" t="e">
        <f>S183/(Q183+R183+S183+T183)*100</f>
        <v>#DIV/0!</v>
      </c>
      <c r="W184" s="337">
        <f>SUM(I184:L184)</f>
        <v>2.4792058823529408</v>
      </c>
      <c r="X184" s="353">
        <f>SUM(N184:P184)</f>
        <v>2.4992247295448542</v>
      </c>
      <c r="Y184" s="134">
        <f>W184/X184</f>
        <v>0.99198997714961024</v>
      </c>
      <c r="Z184" s="354">
        <f>SUM(I183:P183)</f>
        <v>0.16259780000000001</v>
      </c>
      <c r="AA184" s="35">
        <f>Z184/H183</f>
        <v>0.90332111111111124</v>
      </c>
      <c r="AC184" s="45"/>
    </row>
    <row r="185" spans="1:29" ht="15.75">
      <c r="A185" s="326"/>
      <c r="B185" s="326"/>
      <c r="C185" s="377"/>
      <c r="D185" s="390"/>
      <c r="E185" s="355" t="s">
        <v>587</v>
      </c>
      <c r="F185" s="331"/>
      <c r="G185" s="356">
        <f>SUM(I186:L186)</f>
        <v>2.9350882352941174</v>
      </c>
      <c r="H185" s="379">
        <v>0.215</v>
      </c>
      <c r="I185" s="331">
        <v>3.0059999999999996E-2</v>
      </c>
      <c r="J185" s="379">
        <v>3.0400000000000002E-3</v>
      </c>
      <c r="K185" s="379">
        <v>2.6438499999999997E-2</v>
      </c>
      <c r="L185" s="352">
        <v>1.3914999999999999E-3</v>
      </c>
      <c r="M185" s="333"/>
      <c r="N185" s="357">
        <v>3.0499999999999999E-2</v>
      </c>
      <c r="O185" s="357">
        <v>1.7375399999999999E-2</v>
      </c>
      <c r="P185" s="357">
        <v>9.4560000000000005E-2</v>
      </c>
      <c r="Q185" s="418"/>
      <c r="R185" s="419"/>
      <c r="S185" s="369"/>
      <c r="T185" s="369"/>
      <c r="U185" s="335"/>
      <c r="V185" s="336"/>
      <c r="W185" s="156"/>
      <c r="X185" s="156"/>
      <c r="Y185" s="337"/>
      <c r="Z185" s="35"/>
      <c r="AA185" s="35"/>
    </row>
    <row r="186" spans="1:29" s="35" customFormat="1" ht="15.75">
      <c r="A186" s="346"/>
      <c r="B186" s="347"/>
      <c r="C186" s="94"/>
      <c r="D186" s="375"/>
      <c r="E186" s="349"/>
      <c r="F186" s="350"/>
      <c r="G186" s="331"/>
      <c r="H186" s="332"/>
      <c r="I186" s="351">
        <f>I185*1000/20.04</f>
        <v>1.4999999999999998</v>
      </c>
      <c r="J186" s="351">
        <f>J185*1000/12.16</f>
        <v>0.25</v>
      </c>
      <c r="K186" s="351">
        <f>K185*1000/23</f>
        <v>1.1495</v>
      </c>
      <c r="L186" s="351">
        <f>L185*1000/39.1</f>
        <v>3.5588235294117643E-2</v>
      </c>
      <c r="M186" s="91"/>
      <c r="N186" s="352">
        <f>N185*1000/61.01</f>
        <v>0.49991804622193087</v>
      </c>
      <c r="O186" s="352">
        <f>O185*1000/35.46</f>
        <v>0.48999999999999994</v>
      </c>
      <c r="P186" s="351">
        <f>P185*1000/48.03</f>
        <v>1.9687695190505934</v>
      </c>
      <c r="Q186" s="351"/>
      <c r="R186" s="351"/>
      <c r="S186" s="351"/>
      <c r="T186" s="369"/>
      <c r="U186" s="335">
        <f>K186*10/((I186+J186)*10/2)^0.5</f>
        <v>3.8860192632417196</v>
      </c>
      <c r="V186" s="376" t="e">
        <f>S185/(Q185+R185+S185+T185)*100</f>
        <v>#DIV/0!</v>
      </c>
      <c r="W186" s="337">
        <f>SUM(I186:L186)</f>
        <v>2.9350882352941174</v>
      </c>
      <c r="X186" s="353">
        <f>SUM(N186:P186)</f>
        <v>2.9586875652725242</v>
      </c>
      <c r="Y186" s="134">
        <f>W186/X186</f>
        <v>0.99202371678057433</v>
      </c>
      <c r="Z186" s="354">
        <f>SUM(I185:P185)</f>
        <v>0.20336539999999997</v>
      </c>
      <c r="AA186" s="35">
        <f>Z186/H185</f>
        <v>0.94588558139534873</v>
      </c>
      <c r="AC186" s="45"/>
    </row>
    <row r="187" spans="1:29" ht="15.75">
      <c r="A187" s="326"/>
      <c r="B187" s="326"/>
      <c r="C187" s="377"/>
      <c r="D187" s="390"/>
      <c r="E187" s="340" t="s">
        <v>588</v>
      </c>
      <c r="F187" s="331"/>
      <c r="G187" s="356">
        <f>SUM(I188:L188)</f>
        <v>2.5578529411764706</v>
      </c>
      <c r="H187" s="379">
        <v>0.18</v>
      </c>
      <c r="I187" s="379">
        <v>1.5029999999999998E-2</v>
      </c>
      <c r="J187" s="379">
        <v>1.4956800000000001E-2</v>
      </c>
      <c r="K187" s="379">
        <v>1.2891499999999998E-2</v>
      </c>
      <c r="L187" s="352">
        <v>6.7849999999999996E-4</v>
      </c>
      <c r="M187" s="333"/>
      <c r="N187" s="357">
        <v>3.2940000000000004E-2</v>
      </c>
      <c r="O187" s="357">
        <v>2.8013400000000001E-2</v>
      </c>
      <c r="P187" s="357">
        <v>5.9520000000000003E-2</v>
      </c>
      <c r="Q187" s="418"/>
      <c r="R187" s="419"/>
      <c r="S187" s="369"/>
      <c r="T187" s="369"/>
      <c r="U187" s="335"/>
      <c r="V187" s="336"/>
      <c r="W187" s="156"/>
      <c r="X187" s="156"/>
      <c r="Y187" s="337"/>
    </row>
    <row r="188" spans="1:29" s="35" customFormat="1" ht="16.5" thickBot="1">
      <c r="A188" s="391"/>
      <c r="B188" s="392"/>
      <c r="C188" s="132"/>
      <c r="D188" s="393"/>
      <c r="E188" s="394"/>
      <c r="F188" s="381"/>
      <c r="G188" s="363"/>
      <c r="H188" s="364"/>
      <c r="I188" s="395">
        <f>I187*1000/20.04</f>
        <v>0.74999999999999989</v>
      </c>
      <c r="J188" s="395">
        <f>J187*1000/12.16</f>
        <v>1.23</v>
      </c>
      <c r="K188" s="395">
        <f>K187*1000/23</f>
        <v>0.5605</v>
      </c>
      <c r="L188" s="395">
        <f>L187*1000/39.1</f>
        <v>1.7352941176470588E-2</v>
      </c>
      <c r="M188" s="396"/>
      <c r="N188" s="397">
        <f>N187*1000/61.01</f>
        <v>0.53991148991968541</v>
      </c>
      <c r="O188" s="397">
        <f>O187*1000/35.46</f>
        <v>0.79</v>
      </c>
      <c r="P188" s="395">
        <f>P187*1000/48.03</f>
        <v>1.2392254840724548</v>
      </c>
      <c r="Q188" s="395"/>
      <c r="R188" s="395"/>
      <c r="S188" s="395"/>
      <c r="T188" s="428"/>
      <c r="U188" s="335">
        <f>K188*10/((I188+J188)*10/2)^0.5</f>
        <v>1.7813859375738483</v>
      </c>
      <c r="V188" s="425" t="e">
        <f>S187/(Q187+R187+S187+T187)*100</f>
        <v>#DIV/0!</v>
      </c>
      <c r="W188" s="337">
        <f>SUM(I188:L188)</f>
        <v>2.5578529411764706</v>
      </c>
      <c r="X188" s="353">
        <f>SUM(N188:P188)</f>
        <v>2.5691369739921401</v>
      </c>
      <c r="Y188" s="134">
        <f>W188/X188</f>
        <v>0.99560785083477443</v>
      </c>
      <c r="Z188" s="354">
        <f>SUM(I187:P187)</f>
        <v>0.16403020000000001</v>
      </c>
      <c r="AA188" s="35">
        <f>Z188/H187</f>
        <v>0.91127888888888897</v>
      </c>
      <c r="AC188" s="45"/>
    </row>
    <row r="189" spans="1:29" ht="15.75">
      <c r="A189" s="326"/>
      <c r="B189" s="326" t="s">
        <v>358</v>
      </c>
      <c r="C189" s="377">
        <v>3</v>
      </c>
      <c r="D189" s="314"/>
      <c r="E189" s="355" t="s">
        <v>37</v>
      </c>
      <c r="F189" s="342"/>
      <c r="G189" s="356">
        <f>SUM(I190:L190)</f>
        <v>2.9247941176470587</v>
      </c>
      <c r="H189" s="343">
        <v>0.215</v>
      </c>
      <c r="I189" s="343">
        <v>2.0039999999999999E-2</v>
      </c>
      <c r="J189" s="343">
        <v>3.0400000000000002E-3</v>
      </c>
      <c r="K189" s="343">
        <v>3.7363499999999994E-2</v>
      </c>
      <c r="L189" s="344">
        <v>1.9664999999999999E-3</v>
      </c>
      <c r="M189" s="372"/>
      <c r="N189" s="343">
        <v>3.0499999999999999E-2</v>
      </c>
      <c r="O189" s="343">
        <v>1.7375399999999999E-2</v>
      </c>
      <c r="P189" s="343">
        <v>9.4560000000000005E-2</v>
      </c>
      <c r="Q189" s="345"/>
      <c r="R189" s="345"/>
      <c r="S189" s="345"/>
      <c r="T189" s="345"/>
      <c r="U189" s="324"/>
      <c r="V189" s="374"/>
      <c r="W189" s="156"/>
      <c r="X189" s="156"/>
      <c r="Y189" s="337"/>
      <c r="Z189" s="35"/>
      <c r="AA189" s="35"/>
    </row>
    <row r="190" spans="1:29" s="35" customFormat="1" ht="15.75">
      <c r="A190" s="346"/>
      <c r="B190" s="347">
        <v>1</v>
      </c>
      <c r="C190" s="94"/>
      <c r="D190" s="375"/>
      <c r="E190" s="349"/>
      <c r="F190" s="350"/>
      <c r="G190" s="281"/>
      <c r="H190" s="332"/>
      <c r="I190" s="351">
        <f>I189*1000/20.04</f>
        <v>1</v>
      </c>
      <c r="J190" s="351">
        <f>J189*1000/12.16</f>
        <v>0.25</v>
      </c>
      <c r="K190" s="351">
        <f>K189*1000/23</f>
        <v>1.6244999999999998</v>
      </c>
      <c r="L190" s="351">
        <f>L189*1000/39.1</f>
        <v>5.0294117647058822E-2</v>
      </c>
      <c r="M190" s="91"/>
      <c r="N190" s="352">
        <f>N189*1000/61.01</f>
        <v>0.49991804622193087</v>
      </c>
      <c r="O190" s="352">
        <f>O189*1000/35.46</f>
        <v>0.48999999999999994</v>
      </c>
      <c r="P190" s="351">
        <f>P189*1000/48.03</f>
        <v>1.9687695190505934</v>
      </c>
      <c r="Q190" s="351"/>
      <c r="R190" s="351"/>
      <c r="S190" s="351"/>
      <c r="T190" s="369"/>
      <c r="U190" s="335">
        <f>K190*10/((I190+J190)*10/2)^0.5</f>
        <v>6.4979999999999993</v>
      </c>
      <c r="V190" s="336"/>
      <c r="W190" s="337">
        <f>SUM(I190:L190)</f>
        <v>2.9247941176470587</v>
      </c>
      <c r="X190" s="353">
        <f>SUM(N190:P190)</f>
        <v>2.9586875652725242</v>
      </c>
      <c r="Y190" s="134">
        <f>W190/X190</f>
        <v>0.98854443165162542</v>
      </c>
      <c r="Z190" s="354">
        <f>SUM(I189:P189)</f>
        <v>0.20484540000000001</v>
      </c>
      <c r="AA190" s="35">
        <f>Z190/H189</f>
        <v>0.95276930232558144</v>
      </c>
      <c r="AC190" s="45"/>
    </row>
    <row r="191" spans="1:29" ht="15.75">
      <c r="A191" s="326"/>
      <c r="B191" s="326"/>
      <c r="C191" s="377"/>
      <c r="D191" s="378"/>
      <c r="E191" s="340" t="s">
        <v>586</v>
      </c>
      <c r="F191" s="331"/>
      <c r="G191" s="356">
        <f>SUM(I192:L192)</f>
        <v>4.0462647058823524</v>
      </c>
      <c r="H191" s="379">
        <v>0.29499999999999998</v>
      </c>
      <c r="I191" s="331">
        <v>1.5029999999999998E-2</v>
      </c>
      <c r="J191" s="357">
        <v>8.9984000000000001E-3</v>
      </c>
      <c r="K191" s="357">
        <v>5.7028499999999989E-2</v>
      </c>
      <c r="L191" s="352">
        <v>3.0014999999999998E-3</v>
      </c>
      <c r="M191" s="333"/>
      <c r="N191" s="357">
        <v>3.9649999999999998E-2</v>
      </c>
      <c r="O191" s="357">
        <v>1.7375399999999999E-2</v>
      </c>
      <c r="P191" s="357">
        <v>0.14208000000000001</v>
      </c>
      <c r="Q191" s="332"/>
      <c r="R191" s="332"/>
      <c r="S191" s="332"/>
      <c r="T191" s="332"/>
      <c r="U191" s="335"/>
      <c r="V191" s="336"/>
      <c r="W191" s="156"/>
      <c r="X191" s="156"/>
      <c r="Y191" s="337"/>
    </row>
    <row r="192" spans="1:29" s="35" customFormat="1" ht="15.75">
      <c r="A192" s="346"/>
      <c r="B192" s="347"/>
      <c r="C192" s="94"/>
      <c r="D192" s="375"/>
      <c r="E192" s="349"/>
      <c r="F192" s="350"/>
      <c r="G192" s="350"/>
      <c r="H192" s="332"/>
      <c r="I192" s="351">
        <f>I191*1000/20.04</f>
        <v>0.74999999999999989</v>
      </c>
      <c r="J192" s="351">
        <f>J191*1000/12.16</f>
        <v>0.74</v>
      </c>
      <c r="K192" s="351">
        <f>K191*1000/23</f>
        <v>2.4794999999999994</v>
      </c>
      <c r="L192" s="351">
        <f>L191*1000/39.1</f>
        <v>7.6764705882352929E-2</v>
      </c>
      <c r="M192" s="91"/>
      <c r="N192" s="352">
        <f>N191*1000/61.01</f>
        <v>0.64989346008851012</v>
      </c>
      <c r="O192" s="352">
        <f>O191*1000/35.46</f>
        <v>0.48999999999999994</v>
      </c>
      <c r="P192" s="351">
        <f>P191*1000/48.03</f>
        <v>2.9581511555277955</v>
      </c>
      <c r="Q192" s="351"/>
      <c r="R192" s="351"/>
      <c r="S192" s="351"/>
      <c r="T192" s="369"/>
      <c r="U192" s="335">
        <f>K192*10/((I192+J192)*10/2)^0.5</f>
        <v>9.0841851292830462</v>
      </c>
      <c r="V192" s="336"/>
      <c r="W192" s="337">
        <f>SUM(I192:L192)</f>
        <v>4.0462647058823524</v>
      </c>
      <c r="X192" s="353">
        <f>SUM(N192:P192)</f>
        <v>4.0980446156163053</v>
      </c>
      <c r="Y192" s="134">
        <f>W192/X192</f>
        <v>0.98736472767118333</v>
      </c>
      <c r="Z192" s="354">
        <f>SUM(I191:P191)</f>
        <v>0.28316379999999997</v>
      </c>
      <c r="AA192" s="35">
        <f>Z192/H191</f>
        <v>0.95987728813559314</v>
      </c>
      <c r="AC192" s="45"/>
    </row>
    <row r="193" spans="1:29" ht="15.75">
      <c r="A193" s="326"/>
      <c r="B193" s="326"/>
      <c r="C193" s="377"/>
      <c r="D193" s="378"/>
      <c r="E193" s="355" t="s">
        <v>587</v>
      </c>
      <c r="F193" s="331"/>
      <c r="G193" s="356">
        <f>SUM(I194:L194)</f>
        <v>6.931588235294118</v>
      </c>
      <c r="H193" s="379">
        <v>0.56999999999999995</v>
      </c>
      <c r="I193" s="331">
        <v>4.0079999999999998E-2</v>
      </c>
      <c r="J193" s="357">
        <v>3.0400000000000002E-3</v>
      </c>
      <c r="K193" s="357">
        <v>0.10444300000000001</v>
      </c>
      <c r="L193" s="352">
        <v>5.497000000000001E-3</v>
      </c>
      <c r="M193" s="333"/>
      <c r="N193" s="357">
        <v>3.2940000000000004E-2</v>
      </c>
      <c r="O193" s="357">
        <v>2.8013400000000001E-2</v>
      </c>
      <c r="P193" s="357">
        <v>0.28560000000000002</v>
      </c>
      <c r="Q193" s="332"/>
      <c r="R193" s="332"/>
      <c r="S193" s="332"/>
      <c r="T193" s="332"/>
      <c r="U193" s="335"/>
      <c r="V193" s="336"/>
      <c r="W193" s="156"/>
      <c r="X193" s="156"/>
      <c r="Y193" s="337"/>
    </row>
    <row r="194" spans="1:29" s="35" customFormat="1" ht="15.75">
      <c r="A194" s="346"/>
      <c r="B194" s="347"/>
      <c r="C194" s="94"/>
      <c r="D194" s="375"/>
      <c r="E194" s="349"/>
      <c r="F194" s="350"/>
      <c r="G194" s="331"/>
      <c r="H194" s="332"/>
      <c r="I194" s="351">
        <f>I193*1000/20.04</f>
        <v>2</v>
      </c>
      <c r="J194" s="351">
        <f>J193*1000/12.16</f>
        <v>0.25</v>
      </c>
      <c r="K194" s="351">
        <f>K193*1000/23</f>
        <v>4.5410000000000004</v>
      </c>
      <c r="L194" s="351">
        <f>L193*1000/39.1</f>
        <v>0.14058823529411765</v>
      </c>
      <c r="M194" s="91"/>
      <c r="N194" s="352">
        <f>N193*1000/61.01</f>
        <v>0.53991148991968541</v>
      </c>
      <c r="O194" s="352">
        <f>O193*1000/35.46</f>
        <v>0.79</v>
      </c>
      <c r="P194" s="351">
        <f>P193*1000/48.03</f>
        <v>5.9462835727670207</v>
      </c>
      <c r="Q194" s="351"/>
      <c r="R194" s="351"/>
      <c r="S194" s="351"/>
      <c r="T194" s="369"/>
      <c r="U194" s="335">
        <f>K194*10/((I194+J194)*10/2)^0.5</f>
        <v>13.538646247768726</v>
      </c>
      <c r="V194" s="336"/>
      <c r="W194" s="337">
        <f>SUM(I194:L194)</f>
        <v>6.931588235294118</v>
      </c>
      <c r="X194" s="353">
        <f>SUM(N194:P194)</f>
        <v>7.276195062686706</v>
      </c>
      <c r="Y194" s="431">
        <f>W194/X194</f>
        <v>0.9526391438899463</v>
      </c>
      <c r="Z194" s="354">
        <f>SUM(I193:P193)</f>
        <v>0.49961339999999999</v>
      </c>
      <c r="AA194" s="35">
        <f>Z194/H193</f>
        <v>0.87651473684210535</v>
      </c>
      <c r="AC194" s="45"/>
    </row>
    <row r="195" spans="1:29" ht="15.75">
      <c r="A195" s="326"/>
      <c r="B195" s="326"/>
      <c r="C195" s="377"/>
      <c r="D195" s="378"/>
      <c r="E195" s="340" t="s">
        <v>588</v>
      </c>
      <c r="F195" s="331"/>
      <c r="G195" s="356">
        <f>SUM(I196:L196)</f>
        <v>4.4823529411764707</v>
      </c>
      <c r="H195" s="379">
        <v>0.33500000000000002</v>
      </c>
      <c r="I195" s="357">
        <v>2.5049999999999999E-2</v>
      </c>
      <c r="J195" s="357">
        <v>5.9584E-3</v>
      </c>
      <c r="K195" s="357">
        <v>6.1179999999999998E-2</v>
      </c>
      <c r="L195" s="352">
        <v>3.2200000000000002E-3</v>
      </c>
      <c r="M195" s="333"/>
      <c r="N195" s="357">
        <v>3.2940000000000004E-2</v>
      </c>
      <c r="O195" s="357">
        <v>2.8013400000000001E-2</v>
      </c>
      <c r="P195" s="357">
        <v>0.15407999999999999</v>
      </c>
      <c r="Q195" s="332"/>
      <c r="R195" s="332"/>
      <c r="S195" s="332"/>
      <c r="T195" s="332"/>
      <c r="U195" s="335"/>
      <c r="V195" s="336"/>
      <c r="W195" s="156"/>
      <c r="X195" s="156"/>
      <c r="Y195" s="337"/>
    </row>
    <row r="196" spans="1:29" s="35" customFormat="1" ht="16.5" thickBot="1">
      <c r="A196" s="346"/>
      <c r="B196" s="347"/>
      <c r="C196" s="94"/>
      <c r="D196" s="375"/>
      <c r="E196" s="380"/>
      <c r="F196" s="400"/>
      <c r="G196" s="363"/>
      <c r="H196" s="358"/>
      <c r="I196" s="382">
        <f>I195*1000/20.04</f>
        <v>1.25</v>
      </c>
      <c r="J196" s="382">
        <f>J195*1000/12.16</f>
        <v>0.49</v>
      </c>
      <c r="K196" s="382">
        <f>K195*1000/23</f>
        <v>2.66</v>
      </c>
      <c r="L196" s="382">
        <f>L195*1000/39.1</f>
        <v>8.2352941176470587E-2</v>
      </c>
      <c r="M196" s="383"/>
      <c r="N196" s="384">
        <f>N195*1000/61.01</f>
        <v>0.53991148991968541</v>
      </c>
      <c r="O196" s="384">
        <f>O195*1000/35.46</f>
        <v>0.79</v>
      </c>
      <c r="P196" s="382">
        <f>P195*1000/48.03</f>
        <v>3.2079950031230475</v>
      </c>
      <c r="Q196" s="382"/>
      <c r="R196" s="382"/>
      <c r="S196" s="382"/>
      <c r="T196" s="401"/>
      <c r="U196" s="335">
        <f>K196*10/((I196+J196)*10/2)^0.5</f>
        <v>9.0182445981567803</v>
      </c>
      <c r="V196" s="408"/>
      <c r="W196" s="337">
        <f>SUM(I196:L196)</f>
        <v>4.4823529411764707</v>
      </c>
      <c r="X196" s="353">
        <f>SUM(N196:P196)</f>
        <v>4.5379064930427333</v>
      </c>
      <c r="Y196" s="134">
        <f>W196/X196</f>
        <v>0.98775788968956624</v>
      </c>
      <c r="Z196" s="354">
        <f>SUM(I195:P195)</f>
        <v>0.31044179999999999</v>
      </c>
      <c r="AA196" s="35">
        <f>Z196/H195</f>
        <v>0.92669194029850743</v>
      </c>
      <c r="AC196" s="45"/>
    </row>
    <row r="197" spans="1:29" ht="15.75">
      <c r="A197" s="386"/>
      <c r="B197" s="386" t="s">
        <v>358</v>
      </c>
      <c r="C197" s="368">
        <v>3</v>
      </c>
      <c r="D197" s="314"/>
      <c r="E197" s="315" t="s">
        <v>37</v>
      </c>
      <c r="F197" s="316"/>
      <c r="G197" s="356">
        <f>SUM(I198:L198)</f>
        <v>2.9689117647058825</v>
      </c>
      <c r="H197" s="388">
        <v>0.21</v>
      </c>
      <c r="I197" s="388">
        <v>2.0039999999999999E-2</v>
      </c>
      <c r="J197" s="388">
        <v>5.9584E-3</v>
      </c>
      <c r="K197" s="388">
        <v>3.2993499999999995E-2</v>
      </c>
      <c r="L197" s="415">
        <v>1.7365E-3</v>
      </c>
      <c r="M197" s="320"/>
      <c r="N197" s="388">
        <v>3.2940000000000004E-2</v>
      </c>
      <c r="O197" s="388">
        <v>2.8013400000000001E-2</v>
      </c>
      <c r="P197" s="388">
        <v>8.0159999999999995E-2</v>
      </c>
      <c r="Q197" s="324"/>
      <c r="R197" s="416"/>
      <c r="S197" s="323"/>
      <c r="T197" s="323"/>
      <c r="U197" s="324"/>
      <c r="V197" s="325"/>
      <c r="W197" s="156"/>
      <c r="X197" s="156"/>
      <c r="Y197" s="337"/>
      <c r="Z197" s="35"/>
      <c r="AA197" s="35"/>
    </row>
    <row r="198" spans="1:29" ht="15.75">
      <c r="A198" s="326"/>
      <c r="B198" s="327">
        <v>2</v>
      </c>
      <c r="C198" s="328"/>
      <c r="D198" s="405"/>
      <c r="E198" s="330"/>
      <c r="F198" s="331"/>
      <c r="H198" s="332"/>
      <c r="I198" s="332">
        <f>I197*1000/20.04</f>
        <v>1</v>
      </c>
      <c r="J198" s="332">
        <f>J197*1000/12.16</f>
        <v>0.49</v>
      </c>
      <c r="K198" s="332">
        <f>K197*1000/23</f>
        <v>1.4344999999999999</v>
      </c>
      <c r="L198" s="332">
        <f>L197*1000/39.1</f>
        <v>4.4411764705882352E-2</v>
      </c>
      <c r="M198" s="333"/>
      <c r="N198" s="334">
        <f>N197*1000/61.01</f>
        <v>0.53991148991968541</v>
      </c>
      <c r="O198" s="334">
        <f>O197*1000/35.46</f>
        <v>0.79</v>
      </c>
      <c r="P198" s="332">
        <f>P197*1000/48.03</f>
        <v>1.6689569019362898</v>
      </c>
      <c r="Q198" s="332"/>
      <c r="R198" s="332"/>
      <c r="S198" s="332"/>
      <c r="T198" s="345"/>
      <c r="U198" s="335">
        <f>K198*10/((I198+J198)*10/2)^0.5</f>
        <v>5.2556013583208427</v>
      </c>
      <c r="V198" s="376" t="e">
        <f>S197/(Q197+R197+S197+T197)*100</f>
        <v>#DIV/0!</v>
      </c>
      <c r="W198" s="337">
        <f>SUM(I198:L198)</f>
        <v>2.9689117647058825</v>
      </c>
      <c r="X198" s="338">
        <f>SUM(N198:P198)</f>
        <v>2.9988683918559751</v>
      </c>
      <c r="Y198" s="337">
        <f>W198/X198</f>
        <v>0.99001068962164329</v>
      </c>
      <c r="Z198" s="280">
        <f>SUM(I197:P197)</f>
        <v>0.20184180000000002</v>
      </c>
      <c r="AA198" s="45">
        <f>Z198/H197</f>
        <v>0.96115142857142866</v>
      </c>
    </row>
    <row r="199" spans="1:29" ht="15.75">
      <c r="A199" s="326"/>
      <c r="B199" s="326"/>
      <c r="C199" s="377"/>
      <c r="D199" s="390"/>
      <c r="E199" s="340" t="s">
        <v>586</v>
      </c>
      <c r="F199" s="331"/>
      <c r="G199" s="356">
        <f>SUM(I200:L200)</f>
        <v>2.5087941176470587</v>
      </c>
      <c r="H199" s="379">
        <v>0.185</v>
      </c>
      <c r="I199" s="331">
        <v>2.5049999999999999E-2</v>
      </c>
      <c r="J199" s="379">
        <v>3.0400000000000002E-3</v>
      </c>
      <c r="K199" s="379">
        <v>2.2505499999999998E-2</v>
      </c>
      <c r="L199" s="352">
        <v>1.1845E-3</v>
      </c>
      <c r="M199" s="333"/>
      <c r="N199" s="357">
        <v>4.2699999999999995E-2</v>
      </c>
      <c r="O199" s="357">
        <v>2.09214E-2</v>
      </c>
      <c r="P199" s="357">
        <v>5.9520000000000003E-2</v>
      </c>
      <c r="Q199" s="418"/>
      <c r="R199" s="419"/>
      <c r="S199" s="369"/>
      <c r="T199" s="369"/>
      <c r="U199" s="335"/>
      <c r="V199" s="336"/>
      <c r="W199" s="156"/>
      <c r="X199" s="156"/>
      <c r="Y199" s="337"/>
      <c r="Z199" s="35"/>
      <c r="AA199" s="35"/>
    </row>
    <row r="200" spans="1:29" s="35" customFormat="1" ht="15.75">
      <c r="A200" s="346"/>
      <c r="B200" s="347"/>
      <c r="C200" s="94"/>
      <c r="D200" s="375"/>
      <c r="E200" s="349"/>
      <c r="F200" s="350"/>
      <c r="G200" s="350"/>
      <c r="H200" s="332"/>
      <c r="I200" s="351">
        <f>I199*1000/20.04</f>
        <v>1.25</v>
      </c>
      <c r="J200" s="351">
        <f>J199*1000/12.16</f>
        <v>0.25</v>
      </c>
      <c r="K200" s="351">
        <f>K199*1000/23</f>
        <v>0.97849999999999993</v>
      </c>
      <c r="L200" s="351">
        <f>L199*1000/39.1</f>
        <v>3.0294117647058826E-2</v>
      </c>
      <c r="M200" s="91"/>
      <c r="N200" s="352">
        <f>N199*1000/61.01</f>
        <v>0.69988526471070311</v>
      </c>
      <c r="O200" s="352">
        <f>O199*1000/35.46</f>
        <v>0.59</v>
      </c>
      <c r="P200" s="351">
        <f>P199*1000/48.03</f>
        <v>1.2392254840724548</v>
      </c>
      <c r="Q200" s="351"/>
      <c r="R200" s="351"/>
      <c r="S200" s="351"/>
      <c r="T200" s="369"/>
      <c r="U200" s="335">
        <f>K200*10/((I200+J200)*10/2)^0.5</f>
        <v>3.5729768167920337</v>
      </c>
      <c r="V200" s="376" t="e">
        <f>S199/(Q199+R199+S199+T199)*100</f>
        <v>#DIV/0!</v>
      </c>
      <c r="W200" s="337">
        <f>SUM(I200:L200)</f>
        <v>2.5087941176470587</v>
      </c>
      <c r="X200" s="353">
        <f>SUM(N200:P200)</f>
        <v>2.5291107487831579</v>
      </c>
      <c r="Y200" s="134">
        <f>W200/X200</f>
        <v>0.99196688751337825</v>
      </c>
      <c r="Z200" s="354">
        <f>SUM(I199:P199)</f>
        <v>0.1749214</v>
      </c>
      <c r="AA200" s="35">
        <f>Z200/H199</f>
        <v>0.94552108108108113</v>
      </c>
      <c r="AC200" s="45"/>
    </row>
    <row r="201" spans="1:29" ht="15.75">
      <c r="A201" s="326"/>
      <c r="B201" s="326"/>
      <c r="C201" s="377"/>
      <c r="D201" s="390"/>
      <c r="E201" s="355" t="s">
        <v>587</v>
      </c>
      <c r="F201" s="331"/>
      <c r="G201" s="356">
        <f>SUM(I202:L202)</f>
        <v>2.2835294117647056</v>
      </c>
      <c r="H201" s="379">
        <v>0.17</v>
      </c>
      <c r="I201" s="331">
        <v>2.5049999999999999E-2</v>
      </c>
      <c r="J201" s="379">
        <v>3.0400000000000002E-3</v>
      </c>
      <c r="K201" s="379">
        <v>1.7479999999999999E-2</v>
      </c>
      <c r="L201" s="352">
        <v>9.2000000000000003E-4</v>
      </c>
      <c r="M201" s="333"/>
      <c r="N201" s="357">
        <v>3.6600000000000001E-2</v>
      </c>
      <c r="O201" s="357">
        <v>2.09214E-2</v>
      </c>
      <c r="P201" s="357">
        <v>5.3280000000000008E-2</v>
      </c>
      <c r="Q201" s="418"/>
      <c r="R201" s="419"/>
      <c r="S201" s="369"/>
      <c r="T201" s="369"/>
      <c r="U201" s="335"/>
      <c r="V201" s="336"/>
      <c r="W201" s="156"/>
      <c r="X201" s="156"/>
      <c r="Y201" s="337"/>
      <c r="Z201" s="35"/>
      <c r="AA201" s="35"/>
    </row>
    <row r="202" spans="1:29" s="35" customFormat="1" ht="15.75">
      <c r="A202" s="346"/>
      <c r="B202" s="347"/>
      <c r="C202" s="94"/>
      <c r="D202" s="375"/>
      <c r="E202" s="349"/>
      <c r="F202" s="350"/>
      <c r="G202" s="331"/>
      <c r="H202" s="332"/>
      <c r="I202" s="351">
        <f>I201*1000/20.04</f>
        <v>1.25</v>
      </c>
      <c r="J202" s="351">
        <f>J201*1000/12.16</f>
        <v>0.25</v>
      </c>
      <c r="K202" s="351">
        <f>K201*1000/23</f>
        <v>0.76</v>
      </c>
      <c r="L202" s="351">
        <f>L201*1000/39.1</f>
        <v>2.3529411764705882E-2</v>
      </c>
      <c r="M202" s="91"/>
      <c r="N202" s="352">
        <f>N201*1000/61.01</f>
        <v>0.59990165546631702</v>
      </c>
      <c r="O202" s="352">
        <f>O201*1000/35.46</f>
        <v>0.59</v>
      </c>
      <c r="P202" s="351">
        <f>P201*1000/48.03</f>
        <v>1.1093066833229233</v>
      </c>
      <c r="Q202" s="351"/>
      <c r="R202" s="351"/>
      <c r="S202" s="351"/>
      <c r="T202" s="369"/>
      <c r="U202" s="335">
        <f>K202*10/((I202+J202)*10/2)^0.5</f>
        <v>2.7751276246928414</v>
      </c>
      <c r="V202" s="376" t="e">
        <f>S201/(Q201+R201+S201+T201)*100</f>
        <v>#DIV/0!</v>
      </c>
      <c r="W202" s="337">
        <f>SUM(I202:L202)</f>
        <v>2.2835294117647056</v>
      </c>
      <c r="X202" s="353">
        <f>SUM(N202:P202)</f>
        <v>2.2992083387892404</v>
      </c>
      <c r="Y202" s="134">
        <f>W202/X202</f>
        <v>0.99318072800971513</v>
      </c>
      <c r="Z202" s="354">
        <f>SUM(I201:P201)</f>
        <v>0.15729140000000003</v>
      </c>
      <c r="AA202" s="35">
        <f>Z202/H201</f>
        <v>0.9252435294117648</v>
      </c>
      <c r="AC202" s="45"/>
    </row>
    <row r="203" spans="1:29" ht="15.75">
      <c r="A203" s="326"/>
      <c r="B203" s="326"/>
      <c r="C203" s="377"/>
      <c r="D203" s="390"/>
      <c r="E203" s="340" t="s">
        <v>588</v>
      </c>
      <c r="F203" s="331"/>
      <c r="G203" s="356">
        <f>SUM(I204:L204)</f>
        <v>2.6415588235294121</v>
      </c>
      <c r="H203" s="379">
        <v>0.185</v>
      </c>
      <c r="I203" s="379">
        <v>3.5069999999999997E-2</v>
      </c>
      <c r="J203" s="379">
        <v>5.9584E-3</v>
      </c>
      <c r="K203" s="379">
        <v>8.9584999999999994E-3</v>
      </c>
      <c r="L203" s="352">
        <v>4.7149999999999997E-4</v>
      </c>
      <c r="M203" s="333"/>
      <c r="N203" s="357">
        <v>3.6600000000000001E-2</v>
      </c>
      <c r="O203" s="357">
        <v>3.1559400000000001E-2</v>
      </c>
      <c r="P203" s="357">
        <v>5.568E-2</v>
      </c>
      <c r="Q203" s="418"/>
      <c r="R203" s="419"/>
      <c r="S203" s="369"/>
      <c r="T203" s="369"/>
      <c r="U203" s="335"/>
      <c r="V203" s="336"/>
      <c r="W203" s="156"/>
      <c r="X203" s="156"/>
      <c r="Y203" s="337"/>
    </row>
    <row r="204" spans="1:29" s="35" customFormat="1" ht="16.5" thickBot="1">
      <c r="A204" s="391"/>
      <c r="B204" s="392"/>
      <c r="C204" s="132"/>
      <c r="D204" s="393"/>
      <c r="E204" s="394"/>
      <c r="F204" s="381"/>
      <c r="G204" s="363"/>
      <c r="H204" s="364"/>
      <c r="I204" s="395">
        <f>I203*1000/20.04</f>
        <v>1.75</v>
      </c>
      <c r="J204" s="395">
        <f>J203*1000/12.16</f>
        <v>0.49</v>
      </c>
      <c r="K204" s="395">
        <f>K203*1000/23</f>
        <v>0.38949999999999996</v>
      </c>
      <c r="L204" s="395">
        <f>L203*1000/39.1</f>
        <v>1.2058823529411764E-2</v>
      </c>
      <c r="M204" s="396"/>
      <c r="N204" s="397">
        <f>N203*1000/61.01</f>
        <v>0.59990165546631702</v>
      </c>
      <c r="O204" s="397">
        <f>O203*1000/35.46</f>
        <v>0.89</v>
      </c>
      <c r="P204" s="395">
        <f>P203*1000/48.03</f>
        <v>1.1592754528419738</v>
      </c>
      <c r="Q204" s="395"/>
      <c r="R204" s="395"/>
      <c r="S204" s="395"/>
      <c r="T204" s="428"/>
      <c r="U204" s="335">
        <f>K204*10/((I204+J204)*10/2)^0.5</f>
        <v>1.1638538583393656</v>
      </c>
      <c r="V204" s="425" t="e">
        <f>S203/(Q203+R203+S203+T203)*100</f>
        <v>#DIV/0!</v>
      </c>
      <c r="W204" s="337">
        <f>SUM(I204:L204)</f>
        <v>2.6415588235294121</v>
      </c>
      <c r="X204" s="353">
        <f>SUM(N204:P204)</f>
        <v>2.6491771083082907</v>
      </c>
      <c r="Y204" s="134">
        <f>W204/X204</f>
        <v>0.99712428257250663</v>
      </c>
      <c r="Z204" s="354">
        <f>SUM(I203:P203)</f>
        <v>0.1742978</v>
      </c>
      <c r="AA204" s="35">
        <f>Z204/H203</f>
        <v>0.94215027027027032</v>
      </c>
      <c r="AC204" s="45"/>
    </row>
  </sheetData>
  <mergeCells count="14">
    <mergeCell ref="F8:F10"/>
    <mergeCell ref="A8:A11"/>
    <mergeCell ref="B8:B11"/>
    <mergeCell ref="C8:C11"/>
    <mergeCell ref="D8:D11"/>
    <mergeCell ref="E8:E10"/>
    <mergeCell ref="G8:G10"/>
    <mergeCell ref="H8:H10"/>
    <mergeCell ref="I8:V8"/>
    <mergeCell ref="I9:L9"/>
    <mergeCell ref="M9:P9"/>
    <mergeCell ref="Q9:T9"/>
    <mergeCell ref="U9:U10"/>
    <mergeCell ref="V9:V10"/>
  </mergeCells>
  <pageMargins left="0.19685039370078741" right="0.19685039370078741" top="0.78740157480314965" bottom="0.78740157480314965" header="0.51181102362204722" footer="0.51181102362204722"/>
  <pageSetup paperSize="9" scale="90" orientation="landscape" verticalDpi="300" r:id="rId1"/>
  <headerFooter alignWithMargins="0"/>
  <legacyDrawing r:id="rId2"/>
  <oleObjects>
    <oleObject progId="Equation.3" shapeId="19457" r:id="rId3"/>
    <oleObject progId="Equation.3" shapeId="19458" r:id="rId4"/>
    <oleObject progId="Equation.3" shapeId="19459" r:id="rId5"/>
    <oleObject progId="Equation.3" shapeId="19460" r:id="rId6"/>
    <oleObject progId="Equation.3" shapeId="19461" r:id="rId7"/>
    <oleObject progId="Equation.3" shapeId="19462" r:id="rId8"/>
    <oleObject progId="Equation.3" shapeId="19463" r:id="rId9"/>
    <oleObject progId="Equation.3" shapeId="19464" r:id="rId10"/>
    <oleObject progId="Equation.3" shapeId="19465" r:id="rId1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M28"/>
  <sheetViews>
    <sheetView topLeftCell="B1" workbookViewId="0">
      <selection activeCell="D22" sqref="D22"/>
    </sheetView>
  </sheetViews>
  <sheetFormatPr defaultRowHeight="15"/>
  <cols>
    <col min="1" max="1" width="11.28515625" style="434" customWidth="1"/>
    <col min="2" max="2" width="10.5703125" style="441" customWidth="1"/>
    <col min="3" max="16384" width="9.140625" style="434"/>
  </cols>
  <sheetData>
    <row r="1" spans="1:13">
      <c r="B1" s="435"/>
      <c r="C1" s="668" t="s">
        <v>592</v>
      </c>
      <c r="D1" s="669"/>
      <c r="E1" s="670"/>
      <c r="F1" s="671" t="s">
        <v>593</v>
      </c>
      <c r="G1" s="672"/>
      <c r="H1" s="672"/>
      <c r="I1" s="671" t="s">
        <v>26</v>
      </c>
      <c r="J1" s="672"/>
      <c r="K1" s="672"/>
      <c r="L1" s="434" t="s">
        <v>594</v>
      </c>
    </row>
    <row r="2" spans="1:13">
      <c r="A2" s="436" t="s">
        <v>595</v>
      </c>
      <c r="B2" s="435" t="s">
        <v>596</v>
      </c>
      <c r="C2" s="435">
        <v>7.5</v>
      </c>
      <c r="D2" s="435">
        <v>22</v>
      </c>
      <c r="E2" s="435">
        <v>45</v>
      </c>
      <c r="F2" s="435">
        <v>7.5</v>
      </c>
      <c r="G2" s="435">
        <v>22</v>
      </c>
      <c r="H2" s="435">
        <v>45</v>
      </c>
      <c r="I2" s="435">
        <v>7.5</v>
      </c>
      <c r="J2" s="435">
        <v>22</v>
      </c>
      <c r="K2" s="435">
        <v>45</v>
      </c>
      <c r="L2" s="437">
        <v>75</v>
      </c>
      <c r="M2" s="437">
        <v>150</v>
      </c>
    </row>
    <row r="3" spans="1:13">
      <c r="A3" s="436"/>
      <c r="B3" s="435">
        <v>1</v>
      </c>
      <c r="C3" s="435">
        <v>0.46</v>
      </c>
      <c r="D3" s="435">
        <v>0.56000000000000005</v>
      </c>
      <c r="E3" s="435">
        <v>0.24</v>
      </c>
      <c r="F3" s="435">
        <v>2.9</v>
      </c>
      <c r="G3" s="435">
        <v>4</v>
      </c>
      <c r="H3" s="435">
        <v>7.5</v>
      </c>
      <c r="I3" s="438">
        <f>2.7*C3+0.8</f>
        <v>2.0420000000000003</v>
      </c>
      <c r="J3" s="438">
        <f t="shared" ref="J3:K18" si="0">2.7*D3+0.8</f>
        <v>2.3120000000000003</v>
      </c>
      <c r="K3" s="438">
        <f>2.7*E3+0.8</f>
        <v>1.448</v>
      </c>
      <c r="L3" s="439">
        <v>2.6891350868794479</v>
      </c>
      <c r="M3" s="439">
        <v>3.5038639381961225</v>
      </c>
    </row>
    <row r="4" spans="1:13">
      <c r="A4" s="436"/>
      <c r="B4" s="435">
        <v>2</v>
      </c>
      <c r="C4" s="435">
        <v>0.42</v>
      </c>
      <c r="D4" s="435">
        <v>0.38</v>
      </c>
      <c r="E4" s="435">
        <v>0.28000000000000003</v>
      </c>
      <c r="F4" s="435">
        <v>4.3</v>
      </c>
      <c r="G4" s="435">
        <v>4.7</v>
      </c>
      <c r="H4" s="435">
        <v>7.2</v>
      </c>
      <c r="I4" s="438">
        <f t="shared" ref="I4:K19" si="1">2.7*C4+0.8</f>
        <v>1.9340000000000002</v>
      </c>
      <c r="J4" s="438">
        <f t="shared" si="0"/>
        <v>1.8260000000000001</v>
      </c>
      <c r="K4" s="438">
        <f t="shared" si="0"/>
        <v>1.556</v>
      </c>
      <c r="L4" s="439">
        <v>3.1618886090471658</v>
      </c>
      <c r="M4" s="439">
        <v>4.3984345761027139</v>
      </c>
    </row>
    <row r="5" spans="1:13">
      <c r="A5" s="436"/>
      <c r="B5" s="435">
        <v>3</v>
      </c>
      <c r="C5" s="435">
        <v>0.45</v>
      </c>
      <c r="D5" s="435">
        <v>0.68</v>
      </c>
      <c r="E5" s="435">
        <v>0.84</v>
      </c>
      <c r="F5" s="435">
        <v>3.7</v>
      </c>
      <c r="G5" s="435">
        <v>4.5</v>
      </c>
      <c r="H5" s="435">
        <v>7.2</v>
      </c>
      <c r="I5" s="438">
        <f t="shared" si="1"/>
        <v>2.0150000000000001</v>
      </c>
      <c r="J5" s="438">
        <f t="shared" si="0"/>
        <v>2.6360000000000001</v>
      </c>
      <c r="K5" s="438">
        <f t="shared" si="0"/>
        <v>3.0680000000000005</v>
      </c>
      <c r="L5" s="439">
        <v>3.9956539117793231</v>
      </c>
      <c r="M5" s="439">
        <v>5.3526432565364104</v>
      </c>
    </row>
    <row r="6" spans="1:13">
      <c r="A6" s="436"/>
      <c r="B6" s="435">
        <v>4</v>
      </c>
      <c r="C6" s="435">
        <v>1.7</v>
      </c>
      <c r="D6" s="435">
        <v>1.77</v>
      </c>
      <c r="E6" s="435">
        <v>0.83</v>
      </c>
      <c r="F6" s="435">
        <v>3.1</v>
      </c>
      <c r="G6" s="435">
        <v>4.5999999999999996</v>
      </c>
      <c r="H6" s="435">
        <v>7.4</v>
      </c>
      <c r="I6" s="438">
        <f t="shared" si="1"/>
        <v>5.39</v>
      </c>
      <c r="J6" s="438">
        <f t="shared" si="0"/>
        <v>5.5790000000000006</v>
      </c>
      <c r="K6" s="438">
        <f t="shared" si="0"/>
        <v>3.0410000000000004</v>
      </c>
      <c r="L6" s="439">
        <v>4.8809923260206869</v>
      </c>
      <c r="M6" s="439">
        <v>6.545404107078534</v>
      </c>
    </row>
    <row r="7" spans="1:13">
      <c r="A7" s="435"/>
      <c r="B7" s="435">
        <v>5</v>
      </c>
      <c r="C7" s="435">
        <v>0.57999999999999996</v>
      </c>
      <c r="D7" s="435">
        <v>1.23</v>
      </c>
      <c r="E7" s="435">
        <v>1.56</v>
      </c>
      <c r="F7" s="435">
        <v>3.6</v>
      </c>
      <c r="G7" s="435">
        <v>4.9000000000000004</v>
      </c>
      <c r="H7" s="435">
        <v>7.7</v>
      </c>
      <c r="I7" s="438">
        <f t="shared" si="1"/>
        <v>2.3660000000000001</v>
      </c>
      <c r="J7" s="438">
        <f t="shared" si="0"/>
        <v>4.1210000000000004</v>
      </c>
      <c r="K7" s="438">
        <f t="shared" si="0"/>
        <v>5.0120000000000005</v>
      </c>
      <c r="L7" s="439">
        <v>5.5772293313949621</v>
      </c>
      <c r="M7" s="439">
        <v>7.18438313415467</v>
      </c>
    </row>
    <row r="8" spans="1:13">
      <c r="A8" s="440"/>
      <c r="B8" s="440">
        <v>6</v>
      </c>
      <c r="C8" s="440">
        <v>0.43</v>
      </c>
      <c r="D8" s="440">
        <v>0.34</v>
      </c>
      <c r="E8" s="440">
        <v>0.18</v>
      </c>
      <c r="F8" s="440">
        <v>2.8</v>
      </c>
      <c r="G8" s="440">
        <v>4.2</v>
      </c>
      <c r="H8" s="440">
        <v>7.3</v>
      </c>
      <c r="I8" s="438">
        <f t="shared" si="1"/>
        <v>1.9610000000000001</v>
      </c>
      <c r="J8" s="438">
        <f t="shared" si="0"/>
        <v>1.7180000000000002</v>
      </c>
      <c r="K8" s="438">
        <f t="shared" si="0"/>
        <v>1.286</v>
      </c>
      <c r="L8" s="439">
        <v>3.4885183152721346</v>
      </c>
      <c r="M8" s="439">
        <v>4.9181375181246381</v>
      </c>
    </row>
    <row r="9" spans="1:13">
      <c r="A9" s="440"/>
      <c r="B9" s="440">
        <v>7</v>
      </c>
      <c r="C9" s="440">
        <v>2.76</v>
      </c>
      <c r="D9" s="440">
        <v>2.1</v>
      </c>
      <c r="E9" s="440">
        <v>1.49</v>
      </c>
      <c r="F9" s="440">
        <v>4.0999999999999996</v>
      </c>
      <c r="G9" s="440">
        <v>4.8</v>
      </c>
      <c r="H9" s="440">
        <v>8</v>
      </c>
      <c r="I9" s="438">
        <f t="shared" si="1"/>
        <v>8.2520000000000007</v>
      </c>
      <c r="J9" s="438">
        <f t="shared" si="0"/>
        <v>6.4700000000000006</v>
      </c>
      <c r="K9" s="438">
        <f t="shared" si="0"/>
        <v>4.8230000000000004</v>
      </c>
      <c r="L9" s="439">
        <v>12.462239717873913</v>
      </c>
      <c r="M9" s="439">
        <v>11.665756044048644</v>
      </c>
    </row>
    <row r="10" spans="1:13">
      <c r="A10" s="440"/>
      <c r="B10" s="435">
        <v>8</v>
      </c>
      <c r="C10" s="440">
        <v>3.88</v>
      </c>
      <c r="D10" s="440">
        <v>3.87</v>
      </c>
      <c r="E10" s="440">
        <v>2.97</v>
      </c>
      <c r="F10" s="440">
        <v>3.6</v>
      </c>
      <c r="G10" s="440">
        <v>4.3</v>
      </c>
      <c r="H10" s="440">
        <v>7.5</v>
      </c>
      <c r="I10" s="438">
        <f t="shared" si="1"/>
        <v>11.276000000000002</v>
      </c>
      <c r="J10" s="438">
        <f t="shared" si="0"/>
        <v>11.249000000000002</v>
      </c>
      <c r="K10" s="438">
        <f t="shared" si="0"/>
        <v>8.8190000000000026</v>
      </c>
      <c r="L10" s="439">
        <v>12.290329346176563</v>
      </c>
      <c r="M10" s="439">
        <v>11.580558840438492</v>
      </c>
    </row>
    <row r="11" spans="1:13">
      <c r="A11" s="435"/>
      <c r="B11" s="435">
        <v>9</v>
      </c>
      <c r="C11" s="435">
        <v>2.0499999999999998</v>
      </c>
      <c r="D11" s="435">
        <v>1.31</v>
      </c>
      <c r="E11" s="435">
        <v>1.57</v>
      </c>
      <c r="F11" s="435">
        <v>3.7</v>
      </c>
      <c r="G11" s="435">
        <v>4.7</v>
      </c>
      <c r="H11" s="435">
        <v>7.3</v>
      </c>
      <c r="I11" s="438">
        <f t="shared" si="1"/>
        <v>6.335</v>
      </c>
      <c r="J11" s="438">
        <f t="shared" si="0"/>
        <v>4.3370000000000006</v>
      </c>
      <c r="K11" s="438">
        <f t="shared" si="0"/>
        <v>5.0390000000000006</v>
      </c>
      <c r="L11" s="439">
        <v>10.407910776090556</v>
      </c>
      <c r="M11" s="439">
        <v>10.208883862315052</v>
      </c>
    </row>
    <row r="12" spans="1:13">
      <c r="A12" s="435"/>
      <c r="B12" s="435">
        <v>10</v>
      </c>
      <c r="C12" s="435">
        <v>2.08</v>
      </c>
      <c r="D12" s="435">
        <v>1.03</v>
      </c>
      <c r="E12" s="435">
        <v>1</v>
      </c>
      <c r="F12" s="435">
        <v>3.4</v>
      </c>
      <c r="G12" s="435">
        <v>4.5999999999999996</v>
      </c>
      <c r="H12" s="435">
        <v>7.8</v>
      </c>
      <c r="I12" s="438">
        <f t="shared" si="1"/>
        <v>6.4160000000000004</v>
      </c>
      <c r="J12" s="438">
        <f t="shared" si="0"/>
        <v>3.5810000000000004</v>
      </c>
      <c r="K12" s="438">
        <f t="shared" si="0"/>
        <v>3.5</v>
      </c>
      <c r="L12" s="439">
        <v>8.5856608360986257</v>
      </c>
      <c r="M12" s="439">
        <v>10.217403582676067</v>
      </c>
    </row>
    <row r="13" spans="1:13">
      <c r="A13" s="436"/>
      <c r="B13" s="435">
        <v>11</v>
      </c>
      <c r="C13" s="435">
        <v>2.14</v>
      </c>
      <c r="D13" s="435">
        <v>1.2</v>
      </c>
      <c r="E13" s="435">
        <v>2.16</v>
      </c>
      <c r="F13" s="435">
        <v>4.2</v>
      </c>
      <c r="G13" s="435">
        <v>4.5</v>
      </c>
      <c r="H13" s="435">
        <v>7.5</v>
      </c>
      <c r="I13" s="438">
        <f t="shared" si="1"/>
        <v>6.5780000000000003</v>
      </c>
      <c r="J13" s="438">
        <f t="shared" si="0"/>
        <v>4.04</v>
      </c>
      <c r="K13" s="438">
        <f t="shared" si="0"/>
        <v>6.6320000000000006</v>
      </c>
      <c r="L13" s="439">
        <v>8.9896502095874027</v>
      </c>
      <c r="M13" s="439">
        <v>9.7914175646253092</v>
      </c>
    </row>
    <row r="14" spans="1:13">
      <c r="A14" s="436"/>
      <c r="B14" s="435">
        <v>12</v>
      </c>
      <c r="C14" s="435">
        <v>3.53</v>
      </c>
      <c r="D14" s="435">
        <v>0.76</v>
      </c>
      <c r="E14" s="435">
        <v>0.81</v>
      </c>
      <c r="F14" s="435">
        <v>3.8</v>
      </c>
      <c r="G14" s="435">
        <v>4.2</v>
      </c>
      <c r="H14" s="435">
        <v>7.3</v>
      </c>
      <c r="I14" s="438">
        <f t="shared" si="1"/>
        <v>10.331000000000001</v>
      </c>
      <c r="J14" s="438">
        <f t="shared" si="0"/>
        <v>2.8520000000000003</v>
      </c>
      <c r="K14" s="438">
        <f t="shared" si="0"/>
        <v>2.9870000000000001</v>
      </c>
      <c r="L14" s="439">
        <v>8.6286384290229634</v>
      </c>
      <c r="M14" s="439">
        <v>6.2557336148040186</v>
      </c>
    </row>
    <row r="15" spans="1:13">
      <c r="A15" s="436"/>
      <c r="B15" s="440">
        <v>13</v>
      </c>
      <c r="C15" s="435">
        <v>0.26</v>
      </c>
      <c r="D15" s="435">
        <v>0.32</v>
      </c>
      <c r="E15" s="435">
        <v>0.2</v>
      </c>
      <c r="F15" s="435">
        <v>3.6</v>
      </c>
      <c r="G15" s="435">
        <v>4.5</v>
      </c>
      <c r="H15" s="435">
        <v>6.9</v>
      </c>
      <c r="I15" s="438">
        <f t="shared" si="1"/>
        <v>1.5020000000000002</v>
      </c>
      <c r="J15" s="438">
        <f t="shared" si="0"/>
        <v>1.6640000000000001</v>
      </c>
      <c r="K15" s="438">
        <f t="shared" si="0"/>
        <v>1.34</v>
      </c>
      <c r="L15" s="439">
        <v>2.7664947541432561</v>
      </c>
      <c r="M15" s="439">
        <v>3.9128105155248503</v>
      </c>
    </row>
    <row r="16" spans="1:13">
      <c r="A16" s="436"/>
      <c r="B16" s="440">
        <v>14</v>
      </c>
      <c r="C16" s="435">
        <v>0.7</v>
      </c>
      <c r="D16" s="435">
        <v>0.32</v>
      </c>
      <c r="E16" s="435">
        <v>0.34</v>
      </c>
      <c r="F16" s="435">
        <v>4.0999999999999996</v>
      </c>
      <c r="G16" s="435">
        <v>4.7</v>
      </c>
      <c r="H16" s="435">
        <v>7.3</v>
      </c>
      <c r="I16" s="438">
        <f t="shared" si="1"/>
        <v>2.69</v>
      </c>
      <c r="J16" s="438">
        <f t="shared" si="0"/>
        <v>1.6640000000000001</v>
      </c>
      <c r="K16" s="438">
        <f t="shared" si="0"/>
        <v>1.7180000000000002</v>
      </c>
      <c r="L16" s="439">
        <v>3.4369452037629289</v>
      </c>
      <c r="M16" s="439">
        <v>5.7871489949481845</v>
      </c>
    </row>
    <row r="17" spans="1:13">
      <c r="A17" s="436"/>
      <c r="B17" s="435">
        <v>15</v>
      </c>
      <c r="C17" s="435">
        <v>0.7</v>
      </c>
      <c r="D17" s="435">
        <v>0.32</v>
      </c>
      <c r="E17" s="435">
        <v>0.1</v>
      </c>
      <c r="F17" s="435">
        <v>3.8</v>
      </c>
      <c r="G17" s="435">
        <v>4.4000000000000004</v>
      </c>
      <c r="H17" s="435">
        <v>7.5</v>
      </c>
      <c r="I17" s="438">
        <f t="shared" si="1"/>
        <v>2.69</v>
      </c>
      <c r="J17" s="438">
        <f t="shared" si="0"/>
        <v>1.6640000000000001</v>
      </c>
      <c r="K17" s="438">
        <f t="shared" si="0"/>
        <v>1.07</v>
      </c>
      <c r="L17" s="439">
        <v>3.4541362409326641</v>
      </c>
      <c r="M17" s="439">
        <v>4.7392233905433203</v>
      </c>
    </row>
    <row r="18" spans="1:13">
      <c r="A18" s="436"/>
      <c r="B18" s="435">
        <v>16</v>
      </c>
      <c r="C18" s="435">
        <v>0.49</v>
      </c>
      <c r="D18" s="435">
        <v>0.65</v>
      </c>
      <c r="E18" s="435">
        <v>0.45</v>
      </c>
      <c r="F18" s="435">
        <v>4.3</v>
      </c>
      <c r="G18" s="435">
        <v>4.7</v>
      </c>
      <c r="H18" s="435">
        <v>7.7</v>
      </c>
      <c r="I18" s="438">
        <f t="shared" si="1"/>
        <v>2.1230000000000002</v>
      </c>
      <c r="J18" s="438">
        <f t="shared" si="0"/>
        <v>2.5550000000000002</v>
      </c>
      <c r="K18" s="438">
        <f t="shared" si="0"/>
        <v>2.0150000000000001</v>
      </c>
      <c r="L18" s="439">
        <v>5.4482965526219491</v>
      </c>
      <c r="M18" s="439">
        <v>7.3632972617359886</v>
      </c>
    </row>
    <row r="19" spans="1:13">
      <c r="A19" s="436"/>
      <c r="B19" s="435">
        <v>17</v>
      </c>
      <c r="C19" s="435">
        <v>0.7</v>
      </c>
      <c r="D19" s="435">
        <v>1.1599999999999999</v>
      </c>
      <c r="E19" s="435">
        <v>1.54</v>
      </c>
      <c r="F19" s="435">
        <v>4.5</v>
      </c>
      <c r="G19" s="435">
        <v>4.7</v>
      </c>
      <c r="H19" s="435">
        <v>7.1</v>
      </c>
      <c r="I19" s="438">
        <f t="shared" si="1"/>
        <v>2.69</v>
      </c>
      <c r="J19" s="438">
        <f t="shared" si="1"/>
        <v>3.9320000000000004</v>
      </c>
      <c r="K19" s="438">
        <f t="shared" si="1"/>
        <v>4.9580000000000002</v>
      </c>
      <c r="L19" s="439">
        <v>6.2734663367692391</v>
      </c>
      <c r="M19" s="439">
        <v>7.4144155839020787</v>
      </c>
    </row>
    <row r="20" spans="1:13">
      <c r="A20" s="436"/>
      <c r="B20" s="435">
        <v>18</v>
      </c>
      <c r="C20" s="435">
        <v>0.55000000000000004</v>
      </c>
      <c r="D20" s="435">
        <v>0.93</v>
      </c>
      <c r="E20" s="435">
        <v>1.08</v>
      </c>
      <c r="F20" s="435">
        <v>3.6</v>
      </c>
      <c r="G20" s="435">
        <v>4.2</v>
      </c>
      <c r="H20" s="435">
        <v>7.1</v>
      </c>
      <c r="I20" s="438">
        <f t="shared" ref="I20:K26" si="2">2.7*C20+0.8</f>
        <v>2.2850000000000001</v>
      </c>
      <c r="J20" s="438">
        <f t="shared" si="2"/>
        <v>3.3109999999999999</v>
      </c>
      <c r="K20" s="438">
        <f t="shared" si="2"/>
        <v>3.7160000000000002</v>
      </c>
      <c r="L20" s="439">
        <v>5.2334085880002581</v>
      </c>
      <c r="M20" s="439">
        <v>6.4687266238293972</v>
      </c>
    </row>
    <row r="21" spans="1:13">
      <c r="A21" s="436"/>
      <c r="B21" s="435">
        <v>19</v>
      </c>
      <c r="C21" s="435">
        <v>0.24</v>
      </c>
      <c r="D21" s="435">
        <v>0.27</v>
      </c>
      <c r="E21" s="435">
        <v>0.45</v>
      </c>
      <c r="F21" s="435">
        <v>4.3</v>
      </c>
      <c r="G21" s="435">
        <v>4.7</v>
      </c>
      <c r="H21" s="435">
        <v>8.3000000000000007</v>
      </c>
      <c r="I21" s="438">
        <f t="shared" si="2"/>
        <v>1.448</v>
      </c>
      <c r="J21" s="438">
        <f t="shared" si="2"/>
        <v>1.5290000000000001</v>
      </c>
      <c r="K21" s="438">
        <f t="shared" si="2"/>
        <v>2.0150000000000001</v>
      </c>
      <c r="L21" s="439">
        <v>2.8094723470675937</v>
      </c>
      <c r="M21" s="439">
        <v>4.2706387706874871</v>
      </c>
    </row>
    <row r="22" spans="1:13">
      <c r="A22" s="436"/>
      <c r="B22" s="440">
        <v>20</v>
      </c>
      <c r="C22" s="435">
        <v>0.93</v>
      </c>
      <c r="D22" s="435">
        <v>0.25</v>
      </c>
      <c r="E22" s="435">
        <v>1.31</v>
      </c>
      <c r="F22" s="435">
        <v>4.3</v>
      </c>
      <c r="G22" s="435">
        <v>4.8</v>
      </c>
      <c r="H22" s="435">
        <v>7.6</v>
      </c>
      <c r="I22" s="438">
        <f t="shared" si="2"/>
        <v>3.3109999999999999</v>
      </c>
      <c r="J22" s="438">
        <f t="shared" si="2"/>
        <v>1.4750000000000001</v>
      </c>
      <c r="K22" s="438">
        <f t="shared" si="2"/>
        <v>4.3370000000000006</v>
      </c>
      <c r="L22" s="439">
        <v>2.6375619753702422</v>
      </c>
      <c r="M22" s="439">
        <v>3.7040773666799787</v>
      </c>
    </row>
    <row r="23" spans="1:13">
      <c r="A23" s="436"/>
      <c r="B23" s="440">
        <v>21</v>
      </c>
      <c r="C23" s="435">
        <v>0.55000000000000004</v>
      </c>
      <c r="D23" s="435">
        <v>0.28000000000000003</v>
      </c>
      <c r="E23" s="435">
        <v>0.46</v>
      </c>
      <c r="F23" s="435">
        <v>5</v>
      </c>
      <c r="G23" s="435">
        <v>5.3</v>
      </c>
      <c r="H23" s="435">
        <v>7.6</v>
      </c>
      <c r="I23" s="438">
        <f t="shared" si="2"/>
        <v>2.2850000000000001</v>
      </c>
      <c r="J23" s="438">
        <f t="shared" si="2"/>
        <v>1.556</v>
      </c>
      <c r="K23" s="438">
        <f t="shared" si="2"/>
        <v>2.0420000000000003</v>
      </c>
      <c r="L23" s="439">
        <v>3.4369452037629289</v>
      </c>
      <c r="M23" s="439">
        <v>4.7647825516263662</v>
      </c>
    </row>
    <row r="24" spans="1:13">
      <c r="A24" s="436"/>
      <c r="B24" s="435">
        <v>22</v>
      </c>
      <c r="C24" s="435">
        <v>0.76</v>
      </c>
      <c r="D24" s="435">
        <v>0.23</v>
      </c>
      <c r="E24" s="435">
        <v>0.09</v>
      </c>
      <c r="F24" s="435">
        <v>5.6</v>
      </c>
      <c r="G24" s="435">
        <v>5.7</v>
      </c>
      <c r="H24" s="435">
        <v>8.3000000000000007</v>
      </c>
      <c r="I24" s="438">
        <f>2.7*C24+0.8</f>
        <v>2.8520000000000003</v>
      </c>
      <c r="J24" s="438">
        <f t="shared" si="2"/>
        <v>1.4210000000000003</v>
      </c>
      <c r="K24" s="438">
        <f t="shared" si="2"/>
        <v>1.0430000000000001</v>
      </c>
      <c r="L24" s="439">
        <v>3.2306527577261068</v>
      </c>
      <c r="M24" s="439">
        <v>4.7179240896407819</v>
      </c>
    </row>
    <row r="25" spans="1:13">
      <c r="A25" s="436"/>
      <c r="B25" s="435">
        <v>23</v>
      </c>
      <c r="C25" s="435">
        <v>0.61</v>
      </c>
      <c r="D25" s="435">
        <v>0.24</v>
      </c>
      <c r="E25" s="435">
        <v>0.14000000000000001</v>
      </c>
      <c r="F25" s="435">
        <v>7.6</v>
      </c>
      <c r="G25" s="435">
        <v>5.5</v>
      </c>
      <c r="H25" s="435">
        <v>7.5</v>
      </c>
      <c r="I25" s="438">
        <f t="shared" si="2"/>
        <v>2.4470000000000001</v>
      </c>
      <c r="J25" s="438">
        <f t="shared" si="2"/>
        <v>1.448</v>
      </c>
      <c r="K25" s="438">
        <f t="shared" si="2"/>
        <v>1.1780000000000002</v>
      </c>
      <c r="L25" s="439">
        <v>2.5645000673988672</v>
      </c>
      <c r="M25" s="439">
        <v>3.7807548499291155</v>
      </c>
    </row>
    <row r="26" spans="1:13">
      <c r="A26" s="436"/>
      <c r="B26" s="435">
        <v>24</v>
      </c>
      <c r="C26" s="435">
        <v>0.36</v>
      </c>
      <c r="D26" s="435">
        <v>0.35</v>
      </c>
      <c r="E26" s="435">
        <v>0.16</v>
      </c>
      <c r="F26" s="435">
        <v>6.5</v>
      </c>
      <c r="G26" s="435">
        <v>6.2</v>
      </c>
      <c r="H26" s="435">
        <v>7.9</v>
      </c>
      <c r="I26" s="438">
        <f t="shared" si="2"/>
        <v>1.772</v>
      </c>
      <c r="J26" s="438">
        <f t="shared" si="2"/>
        <v>1.7450000000000001</v>
      </c>
      <c r="K26" s="438">
        <f t="shared" si="2"/>
        <v>1.2320000000000002</v>
      </c>
      <c r="L26" s="439">
        <v>2.8008768284827266</v>
      </c>
      <c r="M26" s="439">
        <v>4.338796533575608</v>
      </c>
    </row>
    <row r="27" spans="1:13">
      <c r="I27" s="442">
        <f>CORREL(I3:I26,L3:L26)</f>
        <v>0.87630580845318273</v>
      </c>
      <c r="J27" s="443">
        <f>CORREL(J3:J26,L3:L26)</f>
        <v>0.81303935145740369</v>
      </c>
      <c r="K27" s="443">
        <f>CORREL(K3:K26,L3:L26)</f>
        <v>0.79359459167306656</v>
      </c>
    </row>
    <row r="28" spans="1:13">
      <c r="I28" s="442">
        <f>CORREL(I3:I26,M3:M26)</f>
        <v>0.75388548681418965</v>
      </c>
      <c r="J28" s="443">
        <f>CORREL(J3:J26,M3:M26)</f>
        <v>0.80425756838505147</v>
      </c>
      <c r="K28" s="443">
        <f>CORREL(K3:K26,M3:M26)</f>
        <v>0.79235130964564526</v>
      </c>
    </row>
  </sheetData>
  <mergeCells count="3">
    <mergeCell ref="C1:E1"/>
    <mergeCell ref="F1:H1"/>
    <mergeCell ref="I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8"/>
  <sheetViews>
    <sheetView workbookViewId="0">
      <selection activeCell="G33" sqref="G33"/>
    </sheetView>
  </sheetViews>
  <sheetFormatPr defaultRowHeight="15"/>
  <cols>
    <col min="1" max="1" width="11.28515625" style="434" customWidth="1"/>
    <col min="2" max="2" width="10.5703125" style="441" customWidth="1"/>
    <col min="3" max="11" width="9.140625" style="434"/>
    <col min="12" max="13" width="9.140625" style="444"/>
    <col min="14" max="14" width="9.140625" style="434"/>
    <col min="15" max="18" width="9.140625" style="441"/>
    <col min="19" max="16384" width="9.140625" style="434"/>
  </cols>
  <sheetData>
    <row r="1" spans="1:18">
      <c r="B1" s="435"/>
      <c r="C1" s="668" t="s">
        <v>592</v>
      </c>
      <c r="D1" s="669"/>
      <c r="E1" s="670"/>
      <c r="F1" s="671" t="s">
        <v>593</v>
      </c>
      <c r="G1" s="672"/>
      <c r="H1" s="672"/>
      <c r="I1" s="671" t="s">
        <v>26</v>
      </c>
      <c r="J1" s="672"/>
      <c r="K1" s="672"/>
      <c r="L1" s="444" t="s">
        <v>594</v>
      </c>
      <c r="N1" s="434" t="s">
        <v>597</v>
      </c>
    </row>
    <row r="2" spans="1:18">
      <c r="A2" s="436" t="s">
        <v>595</v>
      </c>
      <c r="B2" s="435" t="s">
        <v>596</v>
      </c>
      <c r="C2" s="435">
        <v>15</v>
      </c>
      <c r="D2" s="435">
        <v>30</v>
      </c>
      <c r="E2" s="435">
        <v>45</v>
      </c>
      <c r="F2" s="435">
        <v>15</v>
      </c>
      <c r="G2" s="435">
        <v>30</v>
      </c>
      <c r="H2" s="435">
        <v>45</v>
      </c>
      <c r="I2" s="435">
        <v>15</v>
      </c>
      <c r="J2" s="435">
        <v>30</v>
      </c>
      <c r="K2" s="435">
        <v>45</v>
      </c>
      <c r="L2" s="445">
        <v>75</v>
      </c>
      <c r="M2" s="445">
        <v>150</v>
      </c>
      <c r="O2" s="441" t="s">
        <v>37</v>
      </c>
      <c r="P2" s="441" t="s">
        <v>119</v>
      </c>
      <c r="Q2" s="441" t="s">
        <v>120</v>
      </c>
      <c r="R2" s="441" t="s">
        <v>121</v>
      </c>
    </row>
    <row r="3" spans="1:18">
      <c r="A3" s="436"/>
      <c r="B3" s="435">
        <v>1</v>
      </c>
      <c r="C3" s="435">
        <v>0.38</v>
      </c>
      <c r="D3" s="435">
        <v>0.37</v>
      </c>
      <c r="E3" s="435">
        <v>0.05</v>
      </c>
      <c r="F3" s="435">
        <v>23.1</v>
      </c>
      <c r="G3" s="435">
        <v>26.5</v>
      </c>
      <c r="H3" s="435">
        <v>26.2</v>
      </c>
      <c r="I3" s="438">
        <f>2.7*C3+0.8</f>
        <v>1.8260000000000001</v>
      </c>
      <c r="J3" s="438">
        <f t="shared" ref="J3:K18" si="0">2.7*D3+0.8</f>
        <v>1.7989999999999999</v>
      </c>
      <c r="K3" s="438">
        <f>2.7*E3+0.8</f>
        <v>0.93500000000000005</v>
      </c>
      <c r="L3" s="446">
        <v>3.4251869620879196</v>
      </c>
      <c r="M3" s="446">
        <v>4.8546899495171907</v>
      </c>
      <c r="O3" s="441">
        <v>0.55000000000000004</v>
      </c>
      <c r="P3" s="441">
        <v>0.23499999999999999</v>
      </c>
      <c r="Q3" s="441">
        <v>0.53</v>
      </c>
      <c r="R3" s="441">
        <v>0.28499999999999998</v>
      </c>
    </row>
    <row r="4" spans="1:18">
      <c r="A4" s="436"/>
      <c r="B4" s="435">
        <v>2</v>
      </c>
      <c r="C4" s="435">
        <v>0.55000000000000004</v>
      </c>
      <c r="D4" s="435">
        <v>0.41</v>
      </c>
      <c r="E4" s="435">
        <v>0.36</v>
      </c>
      <c r="F4" s="435">
        <v>23.6</v>
      </c>
      <c r="G4" s="435">
        <v>25.2</v>
      </c>
      <c r="H4" s="435">
        <v>24.3</v>
      </c>
      <c r="I4" s="438">
        <f t="shared" ref="I4:K19" si="1">2.7*C4+0.8</f>
        <v>2.2850000000000001</v>
      </c>
      <c r="J4" s="438">
        <f t="shared" si="0"/>
        <v>1.907</v>
      </c>
      <c r="K4" s="438">
        <f t="shared" si="0"/>
        <v>1.772</v>
      </c>
      <c r="L4" s="446">
        <v>3.2769258644348573</v>
      </c>
      <c r="M4" s="446">
        <v>3.9673158014829855</v>
      </c>
      <c r="O4" s="441">
        <v>0.39</v>
      </c>
      <c r="P4" s="441">
        <v>0.245</v>
      </c>
      <c r="Q4" s="441">
        <v>0.22</v>
      </c>
      <c r="R4" s="441">
        <v>0.28499999999999998</v>
      </c>
    </row>
    <row r="5" spans="1:18">
      <c r="A5" s="436"/>
      <c r="B5" s="435">
        <v>3</v>
      </c>
      <c r="C5" s="435">
        <v>0.43</v>
      </c>
      <c r="D5" s="435">
        <v>0.6</v>
      </c>
      <c r="E5" s="435">
        <v>1.34</v>
      </c>
      <c r="F5" s="435">
        <v>24</v>
      </c>
      <c r="G5" s="435">
        <v>25.1</v>
      </c>
      <c r="H5" s="435">
        <v>25.4</v>
      </c>
      <c r="I5" s="438">
        <f t="shared" si="1"/>
        <v>1.9610000000000001</v>
      </c>
      <c r="J5" s="438">
        <f t="shared" si="0"/>
        <v>2.42</v>
      </c>
      <c r="K5" s="438">
        <f t="shared" si="0"/>
        <v>4.4180000000000001</v>
      </c>
      <c r="L5" s="446">
        <v>2.6838814738226109</v>
      </c>
      <c r="M5" s="446">
        <v>3.9277513490228615</v>
      </c>
      <c r="O5" s="441">
        <v>0.24</v>
      </c>
      <c r="P5" s="441">
        <v>0.35499999999999998</v>
      </c>
      <c r="Q5" s="441">
        <v>0.22500000000000001</v>
      </c>
      <c r="R5" s="441">
        <v>0.31</v>
      </c>
    </row>
    <row r="6" spans="1:18">
      <c r="A6" s="436"/>
      <c r="B6" s="435">
        <v>4</v>
      </c>
      <c r="C6" s="435">
        <v>0.15</v>
      </c>
      <c r="D6" s="435">
        <v>0.34</v>
      </c>
      <c r="E6" s="435">
        <v>0.24</v>
      </c>
      <c r="F6" s="435">
        <v>24.7</v>
      </c>
      <c r="G6" s="435">
        <v>23.3</v>
      </c>
      <c r="H6" s="435">
        <v>23.6</v>
      </c>
      <c r="I6" s="438">
        <f t="shared" si="1"/>
        <v>1.2050000000000001</v>
      </c>
      <c r="J6" s="438">
        <f t="shared" si="0"/>
        <v>1.7180000000000002</v>
      </c>
      <c r="K6" s="438">
        <f t="shared" si="0"/>
        <v>1.448</v>
      </c>
      <c r="L6" s="446">
        <v>2.3303357794191566</v>
      </c>
      <c r="M6" s="446">
        <v>3.6734084403506371</v>
      </c>
      <c r="O6" s="441">
        <v>0.29499999999999998</v>
      </c>
      <c r="P6" s="441">
        <v>0.27</v>
      </c>
      <c r="Q6" s="441">
        <v>0.19500000000000001</v>
      </c>
      <c r="R6" s="441">
        <v>0.27</v>
      </c>
    </row>
    <row r="7" spans="1:18">
      <c r="A7" s="435"/>
      <c r="B7" s="435">
        <v>5</v>
      </c>
      <c r="C7" s="435">
        <v>1.29</v>
      </c>
      <c r="D7" s="435">
        <v>0.32</v>
      </c>
      <c r="E7" s="435">
        <v>2.0499999999999998</v>
      </c>
      <c r="F7" s="435">
        <v>22.8</v>
      </c>
      <c r="G7" s="435">
        <v>22.9</v>
      </c>
      <c r="H7" s="435">
        <v>21.8</v>
      </c>
      <c r="I7" s="438">
        <f t="shared" si="1"/>
        <v>4.2830000000000004</v>
      </c>
      <c r="J7" s="438">
        <f t="shared" si="0"/>
        <v>1.6640000000000001</v>
      </c>
      <c r="K7" s="438">
        <f t="shared" si="0"/>
        <v>6.335</v>
      </c>
      <c r="L7" s="446">
        <v>2.0794323833908979</v>
      </c>
      <c r="M7" s="446">
        <v>3.3455886913953261</v>
      </c>
      <c r="O7" s="441">
        <v>0.495</v>
      </c>
      <c r="P7" s="441">
        <v>0.41</v>
      </c>
      <c r="Q7" s="441">
        <v>0.42499999999999999</v>
      </c>
      <c r="R7" s="441">
        <v>0.32</v>
      </c>
    </row>
    <row r="8" spans="1:18">
      <c r="A8" s="440"/>
      <c r="B8" s="440">
        <v>6</v>
      </c>
      <c r="C8" s="440">
        <v>0.67</v>
      </c>
      <c r="D8" s="440">
        <v>0.12</v>
      </c>
      <c r="E8" s="440">
        <v>0.27</v>
      </c>
      <c r="F8" s="440">
        <v>22.4</v>
      </c>
      <c r="G8" s="440">
        <v>21.8</v>
      </c>
      <c r="H8" s="440">
        <v>26.1</v>
      </c>
      <c r="I8" s="438">
        <f t="shared" si="1"/>
        <v>2.609</v>
      </c>
      <c r="J8" s="438">
        <f t="shared" si="0"/>
        <v>1.1240000000000001</v>
      </c>
      <c r="K8" s="438">
        <f t="shared" si="0"/>
        <v>1.5290000000000001</v>
      </c>
      <c r="L8" s="446">
        <v>1.5719232414246485</v>
      </c>
      <c r="M8" s="446">
        <v>2.9216838436082853</v>
      </c>
      <c r="O8" s="441">
        <v>0.29499999999999998</v>
      </c>
      <c r="P8" s="441">
        <v>0.23</v>
      </c>
      <c r="Q8" s="441">
        <v>0.23</v>
      </c>
      <c r="R8" s="441">
        <v>0.54500000000000004</v>
      </c>
    </row>
    <row r="9" spans="1:18">
      <c r="A9" s="440"/>
      <c r="B9" s="440">
        <v>7</v>
      </c>
      <c r="C9" s="440">
        <v>0.74</v>
      </c>
      <c r="D9" s="440">
        <v>0.31</v>
      </c>
      <c r="E9" s="440">
        <v>0.91</v>
      </c>
      <c r="F9" s="440">
        <v>23.2</v>
      </c>
      <c r="G9" s="440">
        <v>23.1</v>
      </c>
      <c r="H9" s="440">
        <v>25.5</v>
      </c>
      <c r="I9" s="438">
        <f t="shared" si="1"/>
        <v>2.798</v>
      </c>
      <c r="J9" s="438">
        <f t="shared" si="0"/>
        <v>1.637</v>
      </c>
      <c r="K9" s="438">
        <f t="shared" si="0"/>
        <v>3.2570000000000006</v>
      </c>
      <c r="L9" s="446">
        <v>3.9098867044152366</v>
      </c>
      <c r="M9" s="446">
        <v>5.8155409378344807</v>
      </c>
      <c r="O9" s="441">
        <v>0.42</v>
      </c>
      <c r="P9" s="441">
        <v>0.46500000000000002</v>
      </c>
      <c r="Q9" s="441">
        <v>0.31</v>
      </c>
      <c r="R9" s="441">
        <v>0.505</v>
      </c>
    </row>
    <row r="10" spans="1:18">
      <c r="A10" s="440"/>
      <c r="B10" s="435">
        <v>8</v>
      </c>
      <c r="C10" s="440">
        <v>0.79</v>
      </c>
      <c r="D10" s="440">
        <v>0.11</v>
      </c>
      <c r="E10" s="440">
        <v>0.02</v>
      </c>
      <c r="F10" s="440">
        <v>24.4</v>
      </c>
      <c r="G10" s="440">
        <v>25.7</v>
      </c>
      <c r="H10" s="440">
        <v>28.6</v>
      </c>
      <c r="I10" s="438">
        <f t="shared" si="1"/>
        <v>2.9330000000000007</v>
      </c>
      <c r="J10" s="438">
        <f t="shared" si="0"/>
        <v>1.097</v>
      </c>
      <c r="K10" s="438">
        <f t="shared" si="0"/>
        <v>0.85400000000000009</v>
      </c>
      <c r="L10" s="446">
        <v>4.3945864467425535</v>
      </c>
      <c r="M10" s="446">
        <v>5.8381491963831227</v>
      </c>
      <c r="O10" s="441">
        <v>0.41499999999999998</v>
      </c>
      <c r="P10" s="441">
        <v>0.51</v>
      </c>
      <c r="Q10" s="441">
        <v>0.375</v>
      </c>
      <c r="R10" s="441">
        <v>0.33</v>
      </c>
    </row>
    <row r="11" spans="1:18">
      <c r="A11" s="435"/>
      <c r="B11" s="435">
        <v>9</v>
      </c>
      <c r="C11" s="435">
        <v>1.1399999999999999</v>
      </c>
      <c r="D11" s="435">
        <v>0.68</v>
      </c>
      <c r="E11" s="435">
        <v>1.1599999999999999</v>
      </c>
      <c r="F11" s="435">
        <v>24.3</v>
      </c>
      <c r="G11" s="435">
        <v>23.4</v>
      </c>
      <c r="H11" s="435">
        <v>25.3</v>
      </c>
      <c r="I11" s="438">
        <f t="shared" si="1"/>
        <v>3.8780000000000001</v>
      </c>
      <c r="J11" s="438">
        <f t="shared" si="0"/>
        <v>2.6360000000000001</v>
      </c>
      <c r="K11" s="438">
        <f t="shared" si="0"/>
        <v>3.9320000000000004</v>
      </c>
      <c r="L11" s="446">
        <v>3.3681634629905881</v>
      </c>
      <c r="M11" s="446">
        <v>5.0581642764549688</v>
      </c>
      <c r="O11" s="441">
        <v>0.48499999999999999</v>
      </c>
      <c r="P11" s="441">
        <v>0.56000000000000005</v>
      </c>
      <c r="Q11" s="441">
        <v>0.38500000000000001</v>
      </c>
      <c r="R11" s="441">
        <v>0.3</v>
      </c>
    </row>
    <row r="12" spans="1:18">
      <c r="A12" s="435"/>
      <c r="B12" s="435">
        <v>10</v>
      </c>
      <c r="C12" s="435">
        <v>0.71</v>
      </c>
      <c r="D12" s="435">
        <v>0.82</v>
      </c>
      <c r="E12" s="435">
        <v>1.53</v>
      </c>
      <c r="F12" s="435">
        <v>23.6</v>
      </c>
      <c r="G12" s="435">
        <v>23</v>
      </c>
      <c r="H12" s="435">
        <v>21.6</v>
      </c>
      <c r="I12" s="438">
        <f t="shared" si="1"/>
        <v>2.7170000000000001</v>
      </c>
      <c r="J12" s="438">
        <f t="shared" si="0"/>
        <v>3.0140000000000002</v>
      </c>
      <c r="K12" s="438">
        <f t="shared" si="0"/>
        <v>4.931</v>
      </c>
      <c r="L12" s="446">
        <v>3.522126910553383</v>
      </c>
      <c r="M12" s="446">
        <v>5.6968475804541097</v>
      </c>
      <c r="O12" s="441">
        <v>0.64500000000000002</v>
      </c>
      <c r="P12" s="441">
        <v>0.46</v>
      </c>
      <c r="Q12" s="441">
        <v>0.28499999999999998</v>
      </c>
      <c r="R12" s="441">
        <v>0.25</v>
      </c>
    </row>
    <row r="13" spans="1:18">
      <c r="A13" s="436"/>
      <c r="B13" s="435">
        <v>11</v>
      </c>
      <c r="C13" s="435">
        <v>0.89</v>
      </c>
      <c r="D13" s="435">
        <v>0.92</v>
      </c>
      <c r="E13" s="435">
        <v>0.02</v>
      </c>
      <c r="F13" s="435">
        <v>23.2</v>
      </c>
      <c r="G13" s="435">
        <v>23</v>
      </c>
      <c r="H13" s="435">
        <v>28.4</v>
      </c>
      <c r="I13" s="438">
        <f t="shared" si="1"/>
        <v>3.2030000000000003</v>
      </c>
      <c r="J13" s="438">
        <f t="shared" si="0"/>
        <v>3.2840000000000007</v>
      </c>
      <c r="K13" s="438">
        <f t="shared" si="0"/>
        <v>0.85400000000000009</v>
      </c>
      <c r="L13" s="446">
        <v>4.8963932387990701</v>
      </c>
      <c r="M13" s="446">
        <v>6.7198712797801683</v>
      </c>
      <c r="O13" s="441">
        <v>0.44500000000000001</v>
      </c>
      <c r="P13" s="441">
        <v>0.43</v>
      </c>
      <c r="Q13" s="441">
        <v>0.23499999999999999</v>
      </c>
      <c r="R13" s="441">
        <v>0.21</v>
      </c>
    </row>
    <row r="14" spans="1:18">
      <c r="A14" s="436"/>
      <c r="B14" s="435">
        <v>12</v>
      </c>
      <c r="C14" s="435">
        <v>1.1200000000000001</v>
      </c>
      <c r="D14" s="435">
        <v>2.04</v>
      </c>
      <c r="E14" s="435">
        <v>0.02</v>
      </c>
      <c r="F14" s="435">
        <v>24.2</v>
      </c>
      <c r="G14" s="435">
        <v>23.3</v>
      </c>
      <c r="H14" s="435">
        <v>26.3</v>
      </c>
      <c r="I14" s="438">
        <f t="shared" si="1"/>
        <v>3.8240000000000007</v>
      </c>
      <c r="J14" s="438">
        <f t="shared" si="0"/>
        <v>6.3080000000000007</v>
      </c>
      <c r="K14" s="438">
        <f t="shared" si="0"/>
        <v>0.85400000000000009</v>
      </c>
      <c r="L14" s="446">
        <v>3.2199023653375258</v>
      </c>
      <c r="M14" s="446">
        <v>4.6116511701192859</v>
      </c>
      <c r="O14" s="441">
        <v>0.67500000000000004</v>
      </c>
      <c r="P14" s="441">
        <v>0.76</v>
      </c>
      <c r="Q14" s="441">
        <v>0.38500000000000001</v>
      </c>
      <c r="R14" s="441">
        <v>0.27</v>
      </c>
    </row>
    <row r="15" spans="1:18">
      <c r="A15" s="436"/>
      <c r="B15" s="440">
        <v>13</v>
      </c>
      <c r="C15" s="435">
        <v>1.03</v>
      </c>
      <c r="D15" s="435">
        <v>1.65</v>
      </c>
      <c r="E15" s="435">
        <v>1.1200000000000001</v>
      </c>
      <c r="F15" s="435">
        <v>24.1</v>
      </c>
      <c r="G15" s="435">
        <v>22.4</v>
      </c>
      <c r="H15" s="435">
        <v>22.6</v>
      </c>
      <c r="I15" s="438">
        <f t="shared" si="1"/>
        <v>3.5810000000000004</v>
      </c>
      <c r="J15" s="438">
        <f t="shared" si="0"/>
        <v>5.2549999999999999</v>
      </c>
      <c r="K15" s="438">
        <f t="shared" si="0"/>
        <v>3.8240000000000007</v>
      </c>
      <c r="L15" s="446">
        <v>4.668299242409744</v>
      </c>
      <c r="M15" s="446">
        <v>6.2790102380816446</v>
      </c>
      <c r="O15" s="441">
        <v>0.65500000000000003</v>
      </c>
      <c r="P15" s="441">
        <v>0.59</v>
      </c>
      <c r="Q15" s="441">
        <v>0.58699999999999997</v>
      </c>
      <c r="R15" s="441">
        <v>0.32</v>
      </c>
    </row>
    <row r="16" spans="1:18">
      <c r="A16" s="436"/>
      <c r="B16" s="440">
        <v>14</v>
      </c>
      <c r="C16" s="435">
        <v>1.97</v>
      </c>
      <c r="D16" s="435">
        <v>1.55</v>
      </c>
      <c r="E16" s="435">
        <v>1.4</v>
      </c>
      <c r="F16" s="435">
        <v>22.4</v>
      </c>
      <c r="G16" s="435">
        <v>22.4</v>
      </c>
      <c r="H16" s="435">
        <v>22.3</v>
      </c>
      <c r="I16" s="438">
        <f t="shared" si="1"/>
        <v>6.1189999999999998</v>
      </c>
      <c r="J16" s="438">
        <f t="shared" si="0"/>
        <v>4.9850000000000003</v>
      </c>
      <c r="K16" s="438">
        <f t="shared" si="0"/>
        <v>4.58</v>
      </c>
      <c r="L16" s="446">
        <v>4.3489676474646881</v>
      </c>
      <c r="M16" s="446">
        <v>6.1942292685242375</v>
      </c>
      <c r="O16" s="441">
        <v>0.505</v>
      </c>
      <c r="P16" s="441">
        <v>0.63</v>
      </c>
      <c r="Q16" s="441">
        <v>0.67500000000000004</v>
      </c>
      <c r="R16" s="441">
        <v>0.35</v>
      </c>
    </row>
    <row r="17" spans="1:18">
      <c r="A17" s="436"/>
      <c r="B17" s="435">
        <v>15</v>
      </c>
      <c r="C17" s="435">
        <v>0.91</v>
      </c>
      <c r="D17" s="435">
        <v>1.1000000000000001</v>
      </c>
      <c r="E17" s="435">
        <v>1.85</v>
      </c>
      <c r="F17" s="435">
        <v>22.5</v>
      </c>
      <c r="G17" s="435">
        <v>22.2</v>
      </c>
      <c r="H17" s="435">
        <v>22.6</v>
      </c>
      <c r="I17" s="438">
        <f t="shared" si="1"/>
        <v>3.2570000000000006</v>
      </c>
      <c r="J17" s="438">
        <f t="shared" si="0"/>
        <v>3.7700000000000005</v>
      </c>
      <c r="K17" s="438">
        <f t="shared" si="0"/>
        <v>5.7950000000000008</v>
      </c>
      <c r="L17" s="446">
        <v>4.6226804431318795</v>
      </c>
      <c r="M17" s="446">
        <v>5.9737987476749765</v>
      </c>
      <c r="O17" s="441">
        <v>0.29499999999999998</v>
      </c>
      <c r="P17" s="441">
        <v>0.56000000000000005</v>
      </c>
      <c r="Q17" s="441">
        <v>0.40500000000000003</v>
      </c>
      <c r="R17" s="441">
        <v>0.36</v>
      </c>
    </row>
    <row r="18" spans="1:18">
      <c r="A18" s="436"/>
      <c r="B18" s="435">
        <v>16</v>
      </c>
      <c r="C18" s="435">
        <v>1.24</v>
      </c>
      <c r="D18" s="435">
        <v>0.66</v>
      </c>
      <c r="E18" s="435">
        <v>0.73</v>
      </c>
      <c r="F18" s="435">
        <v>22.6</v>
      </c>
      <c r="G18" s="435">
        <v>22.7</v>
      </c>
      <c r="H18" s="435">
        <v>23.3</v>
      </c>
      <c r="I18" s="438">
        <f t="shared" si="1"/>
        <v>4.1480000000000006</v>
      </c>
      <c r="J18" s="438">
        <f t="shared" si="0"/>
        <v>2.5820000000000003</v>
      </c>
      <c r="K18" s="438">
        <f t="shared" si="0"/>
        <v>2.7709999999999999</v>
      </c>
      <c r="L18" s="446">
        <v>4.1893018499921606</v>
      </c>
      <c r="M18" s="446">
        <v>5.9285822305776925</v>
      </c>
      <c r="O18" s="441">
        <v>0.65</v>
      </c>
      <c r="P18" s="441">
        <v>0.72499999999999998</v>
      </c>
      <c r="Q18" s="441">
        <v>0.57999999999999996</v>
      </c>
      <c r="R18" s="441">
        <v>0.33500000000000002</v>
      </c>
    </row>
    <row r="19" spans="1:18">
      <c r="A19" s="436"/>
      <c r="B19" s="435">
        <v>17</v>
      </c>
      <c r="C19" s="435">
        <v>0.46</v>
      </c>
      <c r="D19" s="435">
        <v>0.8</v>
      </c>
      <c r="E19" s="435">
        <v>0.02</v>
      </c>
      <c r="F19" s="435">
        <v>23.1</v>
      </c>
      <c r="G19" s="435">
        <v>22.9</v>
      </c>
      <c r="H19" s="435">
        <v>26.5</v>
      </c>
      <c r="I19" s="438">
        <f t="shared" si="1"/>
        <v>2.0420000000000003</v>
      </c>
      <c r="J19" s="438">
        <f t="shared" si="1"/>
        <v>2.96</v>
      </c>
      <c r="K19" s="438">
        <f t="shared" si="1"/>
        <v>0.85400000000000009</v>
      </c>
      <c r="L19" s="446">
        <v>4.1550877505337613</v>
      </c>
      <c r="M19" s="446">
        <v>5.8946698427547286</v>
      </c>
      <c r="O19" s="441">
        <v>0.27</v>
      </c>
      <c r="P19" s="441">
        <v>0.28000000000000003</v>
      </c>
      <c r="Q19" s="441">
        <v>0.22500000000000001</v>
      </c>
      <c r="R19" s="441">
        <v>0.18</v>
      </c>
    </row>
    <row r="20" spans="1:18">
      <c r="A20" s="436"/>
      <c r="B20" s="435">
        <v>18</v>
      </c>
      <c r="C20" s="435">
        <v>1.22</v>
      </c>
      <c r="D20" s="435">
        <v>1.29</v>
      </c>
      <c r="E20" s="435">
        <v>0.32</v>
      </c>
      <c r="F20" s="435">
        <v>24.5</v>
      </c>
      <c r="G20" s="435">
        <v>23.4</v>
      </c>
      <c r="H20" s="435">
        <v>26.2</v>
      </c>
      <c r="I20" s="438">
        <f t="shared" ref="I20:K26" si="2">2.7*C20+0.8</f>
        <v>4.0940000000000003</v>
      </c>
      <c r="J20" s="438">
        <f t="shared" si="2"/>
        <v>4.2830000000000004</v>
      </c>
      <c r="K20" s="438">
        <f t="shared" si="2"/>
        <v>1.6640000000000001</v>
      </c>
      <c r="L20" s="446">
        <v>4.5941686935832129</v>
      </c>
      <c r="M20" s="446">
        <v>5.7759764853743576</v>
      </c>
      <c r="O20" s="441">
        <v>0.28499999999999998</v>
      </c>
      <c r="P20" s="441">
        <v>0.33</v>
      </c>
      <c r="Q20" s="441">
        <v>0.495</v>
      </c>
      <c r="R20" s="441">
        <v>0.55000000000000004</v>
      </c>
    </row>
    <row r="21" spans="1:18">
      <c r="A21" s="436"/>
      <c r="B21" s="435">
        <v>19</v>
      </c>
      <c r="C21" s="435">
        <v>0.36</v>
      </c>
      <c r="D21" s="435">
        <v>0.45</v>
      </c>
      <c r="E21" s="435">
        <v>1</v>
      </c>
      <c r="F21" s="435">
        <v>25.7</v>
      </c>
      <c r="G21" s="435">
        <v>24</v>
      </c>
      <c r="H21" s="435">
        <v>23</v>
      </c>
      <c r="I21" s="438">
        <f t="shared" si="2"/>
        <v>1.772</v>
      </c>
      <c r="J21" s="438">
        <f t="shared" si="2"/>
        <v>2.0150000000000001</v>
      </c>
      <c r="K21" s="438">
        <f t="shared" si="2"/>
        <v>3.5</v>
      </c>
      <c r="L21" s="446">
        <v>6.3847065652394202</v>
      </c>
      <c r="M21" s="446">
        <v>7.9746296292298062</v>
      </c>
      <c r="O21" s="441">
        <v>0.28499999999999998</v>
      </c>
      <c r="P21" s="441">
        <v>0.27</v>
      </c>
      <c r="Q21" s="441">
        <v>0.26500000000000001</v>
      </c>
      <c r="R21" s="441">
        <v>0.28999999999999998</v>
      </c>
    </row>
    <row r="22" spans="1:18">
      <c r="A22" s="436"/>
      <c r="B22" s="440">
        <v>20</v>
      </c>
      <c r="C22" s="435">
        <v>0.52</v>
      </c>
      <c r="D22" s="435">
        <v>0.34</v>
      </c>
      <c r="E22" s="435">
        <v>0.63</v>
      </c>
      <c r="F22" s="435">
        <v>22.5</v>
      </c>
      <c r="G22" s="435">
        <v>22.6</v>
      </c>
      <c r="H22" s="435">
        <v>22.2</v>
      </c>
      <c r="I22" s="438">
        <f t="shared" si="2"/>
        <v>2.2040000000000002</v>
      </c>
      <c r="J22" s="438">
        <f t="shared" si="2"/>
        <v>1.7180000000000002</v>
      </c>
      <c r="K22" s="438">
        <f t="shared" si="2"/>
        <v>2.5010000000000003</v>
      </c>
      <c r="L22" s="446">
        <v>6.5386700128022142</v>
      </c>
      <c r="M22" s="446">
        <v>8.6415732564147518</v>
      </c>
      <c r="O22" s="441">
        <v>0.19500000000000001</v>
      </c>
      <c r="P22" s="441">
        <v>0.16</v>
      </c>
      <c r="Q22" s="441">
        <v>0.185</v>
      </c>
      <c r="R22" s="441">
        <v>0.21</v>
      </c>
    </row>
    <row r="23" spans="1:18">
      <c r="A23" s="436"/>
      <c r="B23" s="440">
        <v>21</v>
      </c>
      <c r="C23" s="435">
        <v>0.3</v>
      </c>
      <c r="D23" s="435">
        <v>0.28000000000000003</v>
      </c>
      <c r="E23" s="435">
        <v>0.31</v>
      </c>
      <c r="F23" s="435">
        <v>22.5</v>
      </c>
      <c r="G23" s="435">
        <v>22.7</v>
      </c>
      <c r="H23" s="435">
        <v>22.2</v>
      </c>
      <c r="I23" s="438">
        <f t="shared" si="2"/>
        <v>1.61</v>
      </c>
      <c r="J23" s="438">
        <f t="shared" si="2"/>
        <v>1.556</v>
      </c>
      <c r="K23" s="438">
        <f t="shared" si="2"/>
        <v>1.637</v>
      </c>
      <c r="L23" s="446">
        <v>5.2841530326609236</v>
      </c>
      <c r="M23" s="446">
        <v>6.9742141884523914</v>
      </c>
      <c r="O23" s="441">
        <v>0.48499999999999999</v>
      </c>
      <c r="P23" s="441">
        <v>0.27</v>
      </c>
      <c r="Q23" s="441">
        <v>0.16500000000000001</v>
      </c>
      <c r="R23" s="441">
        <v>0.19500000000000001</v>
      </c>
    </row>
    <row r="24" spans="1:18">
      <c r="A24" s="436"/>
      <c r="B24" s="435">
        <v>22</v>
      </c>
      <c r="C24" s="435">
        <v>0.74</v>
      </c>
      <c r="D24" s="435">
        <v>0.08</v>
      </c>
      <c r="E24" s="435">
        <v>0.26</v>
      </c>
      <c r="F24" s="435">
        <v>23.8</v>
      </c>
      <c r="G24" s="435">
        <v>22.5</v>
      </c>
      <c r="H24" s="435">
        <v>24</v>
      </c>
      <c r="I24" s="438">
        <f>2.7*C24+0.8</f>
        <v>2.798</v>
      </c>
      <c r="J24" s="438">
        <f t="shared" si="2"/>
        <v>1.016</v>
      </c>
      <c r="K24" s="438">
        <f t="shared" si="2"/>
        <v>1.5020000000000002</v>
      </c>
      <c r="L24" s="446">
        <v>5.1301895850981287</v>
      </c>
      <c r="M24" s="446">
        <v>7.2116009032131334</v>
      </c>
      <c r="O24" s="441">
        <v>0.19</v>
      </c>
      <c r="P24" s="441">
        <v>0.18</v>
      </c>
      <c r="Q24" s="441">
        <v>0.215</v>
      </c>
      <c r="R24" s="441">
        <v>0.18</v>
      </c>
    </row>
    <row r="25" spans="1:18">
      <c r="A25" s="436"/>
      <c r="B25" s="435">
        <v>23</v>
      </c>
      <c r="C25" s="435">
        <v>0.2</v>
      </c>
      <c r="D25" s="435">
        <v>0.31</v>
      </c>
      <c r="E25" s="435">
        <v>0.87</v>
      </c>
      <c r="F25" s="435">
        <v>24.2</v>
      </c>
      <c r="G25" s="435">
        <v>24</v>
      </c>
      <c r="H25" s="435">
        <v>27.1</v>
      </c>
      <c r="I25" s="438">
        <f t="shared" si="2"/>
        <v>1.34</v>
      </c>
      <c r="J25" s="438">
        <f t="shared" si="2"/>
        <v>1.637</v>
      </c>
      <c r="K25" s="438">
        <f t="shared" si="2"/>
        <v>3.149</v>
      </c>
      <c r="L25" s="446">
        <v>4.6454898427708118</v>
      </c>
      <c r="M25" s="446">
        <v>6.5333531467538695</v>
      </c>
      <c r="O25" s="441">
        <v>0.215</v>
      </c>
      <c r="P25" s="441">
        <v>0.29499999999999998</v>
      </c>
      <c r="Q25" s="441">
        <v>0.56999999999999995</v>
      </c>
      <c r="R25" s="441">
        <v>0.33500000000000002</v>
      </c>
    </row>
    <row r="26" spans="1:18">
      <c r="A26" s="436"/>
      <c r="B26" s="435">
        <v>24</v>
      </c>
      <c r="C26" s="435">
        <v>0.23</v>
      </c>
      <c r="D26" s="435">
        <v>0.41</v>
      </c>
      <c r="E26" s="435">
        <v>0.62</v>
      </c>
      <c r="F26" s="435">
        <v>26.1</v>
      </c>
      <c r="G26" s="435">
        <v>24.7</v>
      </c>
      <c r="H26" s="435">
        <v>28.4</v>
      </c>
      <c r="I26" s="438">
        <f t="shared" si="2"/>
        <v>1.4210000000000003</v>
      </c>
      <c r="J26" s="438">
        <f t="shared" si="2"/>
        <v>1.907</v>
      </c>
      <c r="K26" s="438">
        <f t="shared" si="2"/>
        <v>2.4740000000000002</v>
      </c>
      <c r="L26" s="446">
        <v>5.1187848852786626</v>
      </c>
      <c r="M26" s="446">
        <v>6.9063894128064653</v>
      </c>
      <c r="O26" s="441">
        <v>0.21</v>
      </c>
      <c r="P26" s="441">
        <v>0.185</v>
      </c>
      <c r="Q26" s="441">
        <v>0.17</v>
      </c>
      <c r="R26" s="441">
        <v>0.185</v>
      </c>
    </row>
    <row r="27" spans="1:18">
      <c r="I27" s="442">
        <f>CORREL(I3:I26,L3:L26)</f>
        <v>-0.11648653402074588</v>
      </c>
      <c r="J27" s="443">
        <f>CORREL(J3:J26,L3:L26)</f>
        <v>3.2034559652970369E-2</v>
      </c>
      <c r="K27" s="443">
        <f>CORREL(K3:K26,L3:L26)</f>
        <v>-9.3017095790717555E-2</v>
      </c>
      <c r="O27" s="441">
        <f>CORREL(C3:C26,O3:O26)</f>
        <v>0.50047035299198939</v>
      </c>
      <c r="P27" s="441">
        <f>CORREL(D3:D26,P3:P26)</f>
        <v>0.67650408724079991</v>
      </c>
      <c r="Q27" s="441">
        <f>CORREL(E3:E26,Q3:Q26)</f>
        <v>0.30311874335003364</v>
      </c>
    </row>
    <row r="28" spans="1:18">
      <c r="I28" s="442">
        <f>CORREL(I3:I26,M3:M26)</f>
        <v>-0.10064403647714966</v>
      </c>
      <c r="J28" s="443">
        <f>CORREL(J3:J26,M3:M26)</f>
        <v>1.1771958757043186E-2</v>
      </c>
      <c r="K28" s="443">
        <f>CORREL(K3:K26,M3:M26)</f>
        <v>-6.233875179395295E-2</v>
      </c>
    </row>
  </sheetData>
  <mergeCells count="3">
    <mergeCell ref="C1:E1"/>
    <mergeCell ref="F1:H1"/>
    <mergeCell ref="I1:K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5"/>
  <sheetViews>
    <sheetView workbookViewId="0">
      <selection activeCell="A2" sqref="A2:XFD6"/>
    </sheetView>
  </sheetViews>
  <sheetFormatPr defaultRowHeight="12.75"/>
  <cols>
    <col min="4" max="4" width="15.7109375" bestFit="1" customWidth="1"/>
    <col min="5" max="7" width="15.7109375" customWidth="1"/>
    <col min="8" max="9" width="10.7109375" bestFit="1" customWidth="1"/>
    <col min="12" max="12" width="10.5703125" customWidth="1"/>
  </cols>
  <sheetData>
    <row r="1" spans="1:20">
      <c r="A1" s="552" t="s">
        <v>780</v>
      </c>
    </row>
    <row r="2" spans="1:20" s="35" customFormat="1">
      <c r="A2" s="544" t="s">
        <v>142</v>
      </c>
      <c r="E2" s="36" t="s">
        <v>143</v>
      </c>
      <c r="F2" s="37"/>
      <c r="G2" s="36"/>
      <c r="H2" s="36"/>
      <c r="I2" s="36"/>
      <c r="J2" s="36"/>
      <c r="K2" s="36"/>
      <c r="L2" s="36"/>
      <c r="M2" s="36"/>
      <c r="N2" s="36"/>
      <c r="O2" s="36"/>
      <c r="P2" s="37"/>
      <c r="Q2" s="37"/>
      <c r="R2" s="37"/>
      <c r="S2" s="37"/>
    </row>
    <row r="3" spans="1:20" s="35" customFormat="1"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35" customFormat="1">
      <c r="F4" s="38"/>
      <c r="P4" s="38"/>
      <c r="Q4" s="38"/>
      <c r="R4" s="38"/>
      <c r="S4" s="38"/>
    </row>
    <row r="5" spans="1:20" s="35" customFormat="1">
      <c r="A5" s="36" t="s">
        <v>144</v>
      </c>
      <c r="B5" s="39"/>
      <c r="C5" s="39"/>
      <c r="D5" s="39"/>
      <c r="E5" s="36" t="s">
        <v>145</v>
      </c>
      <c r="F5" s="37"/>
      <c r="J5" s="36"/>
      <c r="O5" s="36"/>
      <c r="P5" s="38"/>
      <c r="Q5" s="38"/>
      <c r="R5" s="38"/>
      <c r="S5" s="38"/>
    </row>
    <row r="6" spans="1:20" s="43" customFormat="1">
      <c r="A6" s="46"/>
      <c r="B6" s="47"/>
      <c r="C6" s="47"/>
      <c r="D6" s="46"/>
      <c r="E6" s="36" t="s">
        <v>146</v>
      </c>
      <c r="F6" s="48"/>
      <c r="G6" s="46"/>
      <c r="H6" s="46"/>
      <c r="I6" s="46"/>
      <c r="J6" s="46"/>
      <c r="L6" s="46"/>
      <c r="N6" s="46"/>
      <c r="O6" s="47"/>
      <c r="P6" s="47"/>
    </row>
    <row r="9" spans="1:20" ht="15">
      <c r="C9" s="565"/>
      <c r="D9" s="559" t="s">
        <v>68</v>
      </c>
      <c r="E9" s="565"/>
      <c r="F9" s="565"/>
      <c r="G9" s="565"/>
      <c r="H9" s="565"/>
      <c r="I9" s="566"/>
      <c r="J9" s="566"/>
    </row>
    <row r="10" spans="1:20" ht="30">
      <c r="B10" s="559"/>
      <c r="C10" s="567" t="s">
        <v>797</v>
      </c>
      <c r="D10" s="568">
        <v>42328</v>
      </c>
      <c r="E10" s="568">
        <v>42338</v>
      </c>
      <c r="F10" s="568">
        <v>42348</v>
      </c>
      <c r="G10" s="568"/>
      <c r="H10" s="568"/>
      <c r="I10" s="568"/>
      <c r="J10" s="559"/>
    </row>
    <row r="11" spans="1:20" ht="15">
      <c r="B11" s="673" t="s">
        <v>798</v>
      </c>
      <c r="C11" s="674"/>
      <c r="D11" s="674"/>
      <c r="E11" s="674"/>
      <c r="F11" s="674"/>
      <c r="G11" s="674"/>
      <c r="H11" s="674"/>
      <c r="I11" s="674"/>
      <c r="J11" s="675"/>
    </row>
    <row r="12" spans="1:20" ht="15">
      <c r="B12" s="559">
        <v>1</v>
      </c>
      <c r="C12" s="559" t="s">
        <v>786</v>
      </c>
      <c r="D12" s="561">
        <v>0.99</v>
      </c>
      <c r="E12" s="561">
        <v>1.05</v>
      </c>
      <c r="F12" s="561">
        <v>1</v>
      </c>
      <c r="G12" s="561"/>
      <c r="H12" s="561"/>
      <c r="I12" s="561"/>
      <c r="J12" s="559"/>
      <c r="L12" s="569"/>
    </row>
    <row r="13" spans="1:20" ht="15">
      <c r="B13" s="559">
        <v>2</v>
      </c>
      <c r="C13" s="559" t="s">
        <v>787</v>
      </c>
      <c r="D13" s="561">
        <v>1.32</v>
      </c>
      <c r="E13" s="562">
        <v>1.34</v>
      </c>
      <c r="F13" s="561">
        <v>1.33</v>
      </c>
      <c r="G13" s="561"/>
      <c r="H13" s="562"/>
      <c r="I13" s="561"/>
      <c r="J13" s="559"/>
      <c r="L13" s="569"/>
    </row>
    <row r="14" spans="1:20" ht="15">
      <c r="B14" s="559">
        <v>3</v>
      </c>
      <c r="C14" s="559" t="s">
        <v>788</v>
      </c>
      <c r="D14" s="562">
        <v>1.4</v>
      </c>
      <c r="E14" s="562">
        <v>1.44</v>
      </c>
      <c r="F14" s="561">
        <v>1.4</v>
      </c>
      <c r="G14" s="561"/>
      <c r="H14" s="562"/>
      <c r="I14" s="561"/>
      <c r="J14" s="559"/>
    </row>
    <row r="15" spans="1:20" ht="15">
      <c r="B15" s="559">
        <v>4</v>
      </c>
      <c r="C15" s="559" t="s">
        <v>789</v>
      </c>
      <c r="D15" s="562">
        <v>1.1499999999999999</v>
      </c>
      <c r="E15" s="561">
        <v>1.45</v>
      </c>
      <c r="F15" s="561">
        <v>0.99</v>
      </c>
      <c r="G15" s="561"/>
      <c r="H15" s="561"/>
      <c r="I15" s="561"/>
      <c r="J15" s="559"/>
      <c r="L15" s="569"/>
    </row>
    <row r="16" spans="1:20" ht="15">
      <c r="B16" s="559">
        <v>5</v>
      </c>
      <c r="C16" s="559" t="s">
        <v>790</v>
      </c>
      <c r="D16" s="559">
        <v>1.25</v>
      </c>
      <c r="E16" s="559">
        <v>1.38</v>
      </c>
      <c r="F16" s="561">
        <v>1.31</v>
      </c>
      <c r="G16" s="561"/>
      <c r="H16" s="559"/>
      <c r="I16" s="561"/>
      <c r="J16" s="559"/>
    </row>
    <row r="17" spans="1:12" ht="15">
      <c r="B17" s="559">
        <v>6</v>
      </c>
      <c r="C17" s="559" t="s">
        <v>791</v>
      </c>
      <c r="D17" s="562">
        <v>1.4</v>
      </c>
      <c r="E17" s="559">
        <v>1.46</v>
      </c>
      <c r="F17" s="561">
        <v>1.43</v>
      </c>
      <c r="G17" s="561"/>
      <c r="H17" s="559"/>
      <c r="I17" s="561"/>
      <c r="J17" s="559"/>
    </row>
    <row r="18" spans="1:12" ht="15">
      <c r="B18" s="559">
        <v>7</v>
      </c>
      <c r="C18" s="559" t="s">
        <v>792</v>
      </c>
      <c r="D18" s="561">
        <v>0.93</v>
      </c>
      <c r="E18" s="559">
        <v>1.1599999999999999</v>
      </c>
      <c r="F18" s="561">
        <v>1.01</v>
      </c>
      <c r="G18" s="561"/>
      <c r="H18" s="561"/>
      <c r="I18" s="561"/>
      <c r="J18" s="559"/>
    </row>
    <row r="19" spans="1:12" ht="15">
      <c r="B19" s="559">
        <v>8</v>
      </c>
      <c r="C19" s="559" t="s">
        <v>793</v>
      </c>
      <c r="D19" s="561">
        <v>1.21</v>
      </c>
      <c r="E19" s="561">
        <v>1.25</v>
      </c>
      <c r="F19" s="561">
        <v>1.33</v>
      </c>
      <c r="G19" s="561"/>
      <c r="H19" s="561"/>
      <c r="I19" s="561"/>
      <c r="J19" s="559"/>
    </row>
    <row r="20" spans="1:12" ht="15">
      <c r="B20" s="559">
        <v>9</v>
      </c>
      <c r="C20" s="559" t="s">
        <v>794</v>
      </c>
      <c r="D20" s="561">
        <v>1.21</v>
      </c>
      <c r="E20" s="562">
        <v>1.27</v>
      </c>
      <c r="F20" s="561">
        <v>1.32</v>
      </c>
      <c r="G20" s="561"/>
      <c r="H20" s="561"/>
      <c r="I20" s="561"/>
      <c r="J20" s="559"/>
    </row>
    <row r="21" spans="1:12" ht="15">
      <c r="B21" s="559">
        <v>10</v>
      </c>
      <c r="C21" s="559" t="s">
        <v>795</v>
      </c>
      <c r="D21" s="562">
        <v>1.3</v>
      </c>
      <c r="E21" s="559">
        <v>1.34</v>
      </c>
      <c r="F21" s="561">
        <v>1.28</v>
      </c>
      <c r="G21" s="561"/>
      <c r="H21" s="559"/>
      <c r="I21" s="561"/>
      <c r="J21" s="559"/>
      <c r="L21" s="569"/>
    </row>
    <row r="22" spans="1:12" ht="15">
      <c r="B22" s="559">
        <v>11</v>
      </c>
      <c r="C22" s="559" t="s">
        <v>796</v>
      </c>
      <c r="D22" s="562">
        <v>1.39</v>
      </c>
      <c r="E22" s="561">
        <v>1.33</v>
      </c>
      <c r="F22" s="561">
        <v>1.33</v>
      </c>
      <c r="G22" s="561"/>
      <c r="H22" s="561"/>
      <c r="I22" s="561"/>
      <c r="J22" s="559"/>
      <c r="L22" s="569"/>
    </row>
    <row r="23" spans="1:12" ht="15">
      <c r="B23" s="559">
        <v>12</v>
      </c>
      <c r="C23" s="559" t="s">
        <v>803</v>
      </c>
      <c r="D23" s="571">
        <v>1.22</v>
      </c>
      <c r="E23" s="572">
        <v>1.23</v>
      </c>
      <c r="F23" s="572">
        <v>1.28</v>
      </c>
      <c r="G23" s="572"/>
      <c r="H23" s="572"/>
      <c r="I23" s="572"/>
      <c r="J23" s="573"/>
      <c r="L23" s="569"/>
    </row>
    <row r="24" spans="1:12" ht="15">
      <c r="B24" s="673" t="s">
        <v>799</v>
      </c>
      <c r="C24" s="674"/>
      <c r="D24" s="674"/>
      <c r="E24" s="674"/>
      <c r="F24" s="674"/>
      <c r="G24" s="674"/>
      <c r="H24" s="674"/>
      <c r="I24" s="674"/>
      <c r="J24" s="675"/>
    </row>
    <row r="25" spans="1:12" ht="15">
      <c r="E25" s="567" t="s">
        <v>783</v>
      </c>
      <c r="F25" s="559" t="s">
        <v>800</v>
      </c>
      <c r="G25" s="559" t="s">
        <v>801</v>
      </c>
      <c r="H25" s="559"/>
      <c r="I25" s="559"/>
      <c r="J25" s="559"/>
    </row>
    <row r="26" spans="1:12" ht="15">
      <c r="B26" s="559">
        <v>1</v>
      </c>
      <c r="C26" s="559" t="s">
        <v>802</v>
      </c>
      <c r="D26" s="559"/>
      <c r="E26" s="559">
        <v>1.0900000000000001</v>
      </c>
      <c r="F26" s="574">
        <v>7.46</v>
      </c>
      <c r="G26" s="570">
        <v>24.2</v>
      </c>
      <c r="H26" s="559"/>
      <c r="I26" s="559"/>
      <c r="J26" s="559"/>
    </row>
    <row r="27" spans="1:12" ht="15">
      <c r="B27" s="559">
        <v>3</v>
      </c>
      <c r="C27" s="559"/>
      <c r="D27" s="559"/>
      <c r="E27" s="559"/>
      <c r="F27" s="559"/>
      <c r="G27" s="559"/>
      <c r="H27" s="559"/>
      <c r="I27" s="559"/>
      <c r="J27" s="559"/>
    </row>
    <row r="28" spans="1:12" ht="15">
      <c r="B28" s="559">
        <v>4</v>
      </c>
      <c r="C28" s="559"/>
      <c r="D28" s="559"/>
      <c r="E28" s="559"/>
      <c r="F28" s="559"/>
      <c r="G28" s="559"/>
      <c r="H28" s="559"/>
      <c r="I28" s="559"/>
      <c r="J28" s="559"/>
    </row>
    <row r="29" spans="1:12" ht="13.5" thickBot="1"/>
    <row r="30" spans="1:12" ht="13.5" customHeight="1">
      <c r="A30" s="676" t="s">
        <v>89</v>
      </c>
      <c r="B30" s="676" t="s">
        <v>781</v>
      </c>
      <c r="C30" s="676" t="s">
        <v>782</v>
      </c>
      <c r="D30" s="676" t="s">
        <v>68</v>
      </c>
      <c r="E30" s="553"/>
      <c r="F30" s="676" t="s">
        <v>597</v>
      </c>
      <c r="G30" s="676" t="s">
        <v>783</v>
      </c>
    </row>
    <row r="31" spans="1:12" ht="27.75" customHeight="1" thickBot="1">
      <c r="A31" s="677"/>
      <c r="B31" s="677"/>
      <c r="C31" s="677"/>
      <c r="D31" s="677"/>
      <c r="E31" s="554" t="s">
        <v>784</v>
      </c>
      <c r="F31" s="677"/>
      <c r="G31" s="677"/>
    </row>
    <row r="32" spans="1:12" ht="13.5" thickBot="1">
      <c r="A32" s="555"/>
      <c r="B32" s="555"/>
      <c r="C32" s="555"/>
      <c r="D32" s="555"/>
      <c r="E32" s="555"/>
      <c r="F32" s="556" t="s">
        <v>785</v>
      </c>
      <c r="G32" s="557" t="s">
        <v>14</v>
      </c>
    </row>
    <row r="33" spans="1:11" ht="13.5" thickBot="1">
      <c r="A33" s="558" t="s">
        <v>1</v>
      </c>
      <c r="B33" s="558" t="s">
        <v>2</v>
      </c>
      <c r="C33" s="558" t="s">
        <v>3</v>
      </c>
      <c r="D33" s="558" t="s">
        <v>4</v>
      </c>
      <c r="E33" s="558"/>
      <c r="F33" s="558" t="s">
        <v>15</v>
      </c>
      <c r="G33" s="558" t="s">
        <v>16</v>
      </c>
    </row>
    <row r="34" spans="1:11" ht="15">
      <c r="C34" s="559" t="s">
        <v>786</v>
      </c>
      <c r="D34" s="560" t="s">
        <v>804</v>
      </c>
      <c r="E34" s="561">
        <v>0.99</v>
      </c>
      <c r="G34" s="559">
        <v>4.0599999999999996</v>
      </c>
    </row>
    <row r="35" spans="1:11" ht="15">
      <c r="C35" s="559" t="s">
        <v>787</v>
      </c>
      <c r="E35" s="561">
        <v>1.32</v>
      </c>
      <c r="G35" s="559">
        <v>4.54</v>
      </c>
    </row>
    <row r="36" spans="1:11" ht="15">
      <c r="C36" s="559" t="s">
        <v>788</v>
      </c>
      <c r="E36" s="562">
        <v>1.4</v>
      </c>
      <c r="G36" s="559">
        <v>4.1500000000000004</v>
      </c>
    </row>
    <row r="37" spans="1:11" ht="15">
      <c r="C37" s="559" t="s">
        <v>789</v>
      </c>
      <c r="E37" s="562">
        <v>1.1499999999999999</v>
      </c>
      <c r="G37" s="559">
        <v>4.3499999999999996</v>
      </c>
    </row>
    <row r="38" spans="1:11" ht="15">
      <c r="C38" s="559" t="s">
        <v>790</v>
      </c>
      <c r="E38" s="559">
        <v>1.25</v>
      </c>
      <c r="G38" s="559">
        <v>5.86</v>
      </c>
    </row>
    <row r="39" spans="1:11" ht="15">
      <c r="C39" s="559" t="s">
        <v>791</v>
      </c>
      <c r="E39" s="562">
        <v>1.4</v>
      </c>
      <c r="G39" s="559">
        <v>5.91</v>
      </c>
    </row>
    <row r="40" spans="1:11" ht="15">
      <c r="C40" s="559" t="s">
        <v>792</v>
      </c>
      <c r="E40" s="561">
        <v>0.93</v>
      </c>
      <c r="G40" s="559">
        <v>2.56</v>
      </c>
      <c r="H40" s="563"/>
      <c r="I40" s="563"/>
      <c r="J40" s="563"/>
      <c r="K40" s="563"/>
    </row>
    <row r="41" spans="1:11" ht="15">
      <c r="C41" s="559" t="s">
        <v>793</v>
      </c>
      <c r="E41" s="561">
        <v>1.21</v>
      </c>
      <c r="G41" s="559">
        <v>4.74</v>
      </c>
    </row>
    <row r="42" spans="1:11" ht="15">
      <c r="C42" s="559" t="s">
        <v>794</v>
      </c>
      <c r="E42" s="561">
        <v>1.21</v>
      </c>
      <c r="G42" s="559">
        <v>4.6500000000000004</v>
      </c>
    </row>
    <row r="43" spans="1:11" ht="15">
      <c r="C43" s="559" t="s">
        <v>795</v>
      </c>
      <c r="E43" s="562">
        <v>1.3</v>
      </c>
      <c r="G43" s="559">
        <v>3.84</v>
      </c>
    </row>
    <row r="44" spans="1:11" ht="15">
      <c r="C44" s="559" t="s">
        <v>796</v>
      </c>
      <c r="E44" s="562">
        <v>1.39</v>
      </c>
      <c r="G44" s="561">
        <v>3.77</v>
      </c>
    </row>
    <row r="45" spans="1:11" ht="15">
      <c r="C45" s="559" t="s">
        <v>803</v>
      </c>
      <c r="E45" s="571">
        <v>1.22</v>
      </c>
      <c r="G45" s="564">
        <v>4.1100000000000003</v>
      </c>
    </row>
  </sheetData>
  <mergeCells count="8">
    <mergeCell ref="B11:J11"/>
    <mergeCell ref="B24:J24"/>
    <mergeCell ref="A30:A31"/>
    <mergeCell ref="B30:B31"/>
    <mergeCell ref="C30:C31"/>
    <mergeCell ref="D30:D31"/>
    <mergeCell ref="F30:F31"/>
    <mergeCell ref="G30:G31"/>
  </mergeCell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selection activeCell="D8" sqref="D8"/>
    </sheetView>
  </sheetViews>
  <sheetFormatPr defaultRowHeight="15"/>
  <cols>
    <col min="1" max="1" width="12" style="168" customWidth="1"/>
    <col min="2" max="2" width="9.85546875" style="168" customWidth="1"/>
    <col min="3" max="3" width="24" style="168" customWidth="1"/>
    <col min="4" max="4" width="14.140625" style="168" customWidth="1"/>
    <col min="5" max="5" width="9.140625" style="168"/>
    <col min="6" max="6" width="16.85546875" style="168" customWidth="1"/>
    <col min="7" max="7" width="11.28515625" style="168" customWidth="1"/>
    <col min="8" max="8" width="11.5703125" style="168" bestFit="1" customWidth="1"/>
    <col min="9" max="10" width="13.28515625" style="168" customWidth="1"/>
    <col min="11" max="16384" width="9.140625" style="168"/>
  </cols>
  <sheetData>
    <row r="1" spans="1:11">
      <c r="A1" s="179">
        <v>42315</v>
      </c>
    </row>
    <row r="3" spans="1:11">
      <c r="A3" s="168" t="s">
        <v>157</v>
      </c>
      <c r="E3" s="168" t="s">
        <v>158</v>
      </c>
      <c r="G3" s="168" t="s">
        <v>159</v>
      </c>
    </row>
    <row r="5" spans="1:11" ht="30">
      <c r="A5" s="180" t="s">
        <v>160</v>
      </c>
      <c r="B5" s="180" t="s">
        <v>161</v>
      </c>
      <c r="C5" s="180" t="s">
        <v>162</v>
      </c>
      <c r="D5" s="180" t="s">
        <v>163</v>
      </c>
      <c r="E5" s="180" t="s">
        <v>164</v>
      </c>
      <c r="F5" s="180" t="s">
        <v>165</v>
      </c>
      <c r="G5" s="180" t="s">
        <v>166</v>
      </c>
      <c r="H5" s="180" t="s">
        <v>167</v>
      </c>
      <c r="I5" s="180" t="s">
        <v>168</v>
      </c>
      <c r="J5" s="180" t="s">
        <v>169</v>
      </c>
      <c r="K5" s="180" t="s">
        <v>170</v>
      </c>
    </row>
    <row r="6" spans="1:11" ht="60">
      <c r="A6" s="180" t="s">
        <v>171</v>
      </c>
      <c r="B6" s="180">
        <v>17</v>
      </c>
      <c r="C6" s="180" t="s">
        <v>172</v>
      </c>
      <c r="D6" s="180" t="s">
        <v>173</v>
      </c>
      <c r="E6" s="180" t="s">
        <v>174</v>
      </c>
      <c r="F6" s="180" t="s">
        <v>175</v>
      </c>
      <c r="G6" s="180">
        <v>0</v>
      </c>
      <c r="H6" s="545">
        <v>8.4333333333333336</v>
      </c>
      <c r="I6" s="180" t="s">
        <v>176</v>
      </c>
      <c r="J6" s="180" t="s">
        <v>177</v>
      </c>
      <c r="K6" s="180"/>
    </row>
    <row r="7" spans="1:11" ht="75">
      <c r="A7" s="180" t="s">
        <v>178</v>
      </c>
      <c r="B7" s="180">
        <v>25</v>
      </c>
      <c r="C7" s="180" t="s">
        <v>179</v>
      </c>
      <c r="D7" s="180" t="s">
        <v>180</v>
      </c>
      <c r="E7" s="180" t="s">
        <v>181</v>
      </c>
      <c r="F7" s="180" t="s">
        <v>182</v>
      </c>
      <c r="G7" s="180">
        <v>0</v>
      </c>
      <c r="H7" s="545">
        <v>8.65</v>
      </c>
      <c r="I7" s="180" t="s">
        <v>176</v>
      </c>
      <c r="J7" s="180" t="s">
        <v>183</v>
      </c>
      <c r="K7" s="180"/>
    </row>
    <row r="8" spans="1:11" ht="60">
      <c r="A8" s="180" t="s">
        <v>184</v>
      </c>
      <c r="B8" s="180">
        <v>24</v>
      </c>
      <c r="C8" s="180" t="s">
        <v>185</v>
      </c>
      <c r="D8" s="180" t="s">
        <v>186</v>
      </c>
      <c r="E8" s="180" t="s">
        <v>181</v>
      </c>
      <c r="F8" s="180" t="s">
        <v>187</v>
      </c>
      <c r="G8" s="180">
        <v>0</v>
      </c>
      <c r="H8" s="545">
        <v>8.5766666666666662</v>
      </c>
      <c r="I8" s="180" t="s">
        <v>176</v>
      </c>
      <c r="J8" s="180" t="s">
        <v>188</v>
      </c>
      <c r="K8" s="180" t="s">
        <v>203</v>
      </c>
    </row>
    <row r="9" spans="1:11" ht="64.5" customHeight="1">
      <c r="A9" s="180" t="s">
        <v>189</v>
      </c>
      <c r="B9" s="180">
        <v>23</v>
      </c>
      <c r="C9" s="180" t="s">
        <v>190</v>
      </c>
      <c r="D9" s="180" t="s">
        <v>180</v>
      </c>
      <c r="E9" s="180" t="s">
        <v>181</v>
      </c>
      <c r="F9" s="180" t="s">
        <v>187</v>
      </c>
      <c r="G9" s="180">
        <v>0</v>
      </c>
      <c r="H9" s="545">
        <v>8.8566666666666674</v>
      </c>
      <c r="I9" s="180" t="s">
        <v>191</v>
      </c>
      <c r="J9" s="180" t="s">
        <v>192</v>
      </c>
      <c r="K9" s="180" t="s">
        <v>203</v>
      </c>
    </row>
    <row r="10" spans="1:11" ht="60">
      <c r="A10" s="180" t="s">
        <v>193</v>
      </c>
      <c r="B10" s="180">
        <v>26</v>
      </c>
      <c r="C10" s="180" t="s">
        <v>194</v>
      </c>
      <c r="D10" s="180" t="s">
        <v>180</v>
      </c>
      <c r="E10" s="543" t="s">
        <v>200</v>
      </c>
      <c r="F10" s="180" t="s">
        <v>195</v>
      </c>
      <c r="G10" s="180">
        <v>0</v>
      </c>
      <c r="H10" s="545">
        <v>8.6066666666666674</v>
      </c>
      <c r="I10" s="180" t="s">
        <v>191</v>
      </c>
      <c r="J10" s="180" t="s">
        <v>196</v>
      </c>
      <c r="K10" s="180"/>
    </row>
    <row r="11" spans="1:11" ht="75">
      <c r="A11" s="180" t="s">
        <v>197</v>
      </c>
      <c r="B11" s="180">
        <v>23</v>
      </c>
      <c r="C11" s="180" t="s">
        <v>198</v>
      </c>
      <c r="D11" s="180" t="s">
        <v>199</v>
      </c>
      <c r="E11" s="180" t="s">
        <v>200</v>
      </c>
      <c r="F11" s="180" t="s">
        <v>201</v>
      </c>
      <c r="G11" s="180">
        <v>0</v>
      </c>
      <c r="H11" s="545">
        <v>8.68</v>
      </c>
      <c r="I11" s="180"/>
      <c r="J11" s="180" t="s">
        <v>196</v>
      </c>
      <c r="K11" s="180" t="s">
        <v>202</v>
      </c>
    </row>
    <row r="12" spans="1:11">
      <c r="A12" s="181"/>
      <c r="B12" s="181"/>
      <c r="C12" s="181"/>
      <c r="D12" s="182"/>
      <c r="E12" s="182"/>
      <c r="F12" s="182"/>
      <c r="G12" s="182"/>
      <c r="H12" s="182"/>
      <c r="I12" s="182"/>
      <c r="J12" s="182"/>
      <c r="K12" s="182"/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139"/>
  <sheetViews>
    <sheetView workbookViewId="0">
      <selection activeCell="F16" sqref="F16"/>
    </sheetView>
  </sheetViews>
  <sheetFormatPr defaultRowHeight="15"/>
  <cols>
    <col min="1" max="1" width="10.7109375" style="577" bestFit="1" customWidth="1"/>
    <col min="2" max="2" width="10.7109375" style="577" customWidth="1"/>
    <col min="3" max="4" width="9.140625" style="584"/>
    <col min="5" max="5" width="9.140625" style="577"/>
    <col min="6" max="6" width="16" style="584" customWidth="1"/>
    <col min="7" max="7" width="9.140625" style="577"/>
    <col min="8" max="8" width="9.140625" style="584"/>
    <col min="9" max="9" width="9.140625" style="577"/>
    <col min="10" max="10" width="13.42578125" style="588" customWidth="1"/>
    <col min="11" max="12" width="9.140625" style="577" customWidth="1"/>
    <col min="13" max="13" width="13.85546875" style="577" customWidth="1"/>
    <col min="14" max="14" width="16.140625" style="577" customWidth="1"/>
    <col min="15" max="16384" width="9.140625" style="577"/>
  </cols>
  <sheetData>
    <row r="2" spans="1:20" s="35" customFormat="1" ht="12.75">
      <c r="A2" s="544" t="s">
        <v>142</v>
      </c>
      <c r="E2" s="36" t="s">
        <v>143</v>
      </c>
      <c r="F2" s="37"/>
      <c r="G2" s="36"/>
      <c r="H2" s="36"/>
      <c r="I2" s="36"/>
      <c r="J2" s="36"/>
      <c r="K2" s="36"/>
      <c r="L2" s="36"/>
      <c r="M2" s="36"/>
      <c r="N2" s="36"/>
      <c r="O2" s="36"/>
      <c r="P2" s="37"/>
      <c r="Q2" s="37"/>
      <c r="R2" s="37"/>
      <c r="S2" s="37"/>
    </row>
    <row r="3" spans="1:20" s="35" customFormat="1" ht="12.75"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s="35" customFormat="1" ht="12.75">
      <c r="F4" s="38"/>
      <c r="P4" s="38"/>
      <c r="Q4" s="38"/>
      <c r="R4" s="38"/>
      <c r="S4" s="38"/>
    </row>
    <row r="5" spans="1:20" s="35" customFormat="1" ht="12.75">
      <c r="A5" s="36" t="s">
        <v>144</v>
      </c>
      <c r="B5" s="39"/>
      <c r="C5" s="39"/>
      <c r="D5" s="39"/>
      <c r="E5" s="36" t="s">
        <v>145</v>
      </c>
      <c r="F5" s="37"/>
      <c r="J5" s="36"/>
      <c r="O5" s="36"/>
      <c r="P5" s="38"/>
      <c r="Q5" s="38"/>
      <c r="R5" s="38"/>
      <c r="S5" s="38"/>
    </row>
    <row r="6" spans="1:20" s="43" customFormat="1" ht="12.75">
      <c r="A6" s="46"/>
      <c r="B6" s="47"/>
      <c r="C6" s="47"/>
      <c r="D6" s="46"/>
      <c r="E6" s="36" t="s">
        <v>146</v>
      </c>
      <c r="F6" s="48"/>
      <c r="G6" s="46"/>
      <c r="H6" s="46"/>
      <c r="I6" s="46"/>
      <c r="J6" s="46"/>
      <c r="L6" s="46"/>
      <c r="N6" s="46"/>
      <c r="O6" s="47"/>
      <c r="P6" s="47"/>
    </row>
    <row r="8" spans="1:20" ht="49.5" customHeight="1">
      <c r="A8" s="575" t="s">
        <v>228</v>
      </c>
      <c r="B8" s="575" t="s">
        <v>805</v>
      </c>
      <c r="C8" s="575" t="s">
        <v>229</v>
      </c>
      <c r="D8" s="575" t="s">
        <v>230</v>
      </c>
      <c r="E8" s="575" t="s">
        <v>231</v>
      </c>
      <c r="F8" s="575" t="s">
        <v>232</v>
      </c>
      <c r="G8" s="575" t="s">
        <v>233</v>
      </c>
      <c r="H8" s="575" t="s">
        <v>234</v>
      </c>
      <c r="I8" s="575" t="s">
        <v>235</v>
      </c>
      <c r="J8" s="576" t="s">
        <v>236</v>
      </c>
      <c r="K8" s="575" t="s">
        <v>237</v>
      </c>
      <c r="L8" s="575" t="s">
        <v>238</v>
      </c>
      <c r="M8" s="575" t="s">
        <v>239</v>
      </c>
      <c r="N8" s="575" t="s">
        <v>239</v>
      </c>
    </row>
    <row r="9" spans="1:20" ht="49.5" customHeight="1">
      <c r="A9" s="575" t="s">
        <v>13</v>
      </c>
      <c r="B9" s="578"/>
      <c r="C9" s="575" t="s">
        <v>242</v>
      </c>
      <c r="D9" s="575" t="s">
        <v>243</v>
      </c>
      <c r="E9" s="575" t="s">
        <v>244</v>
      </c>
      <c r="F9" s="579" t="s">
        <v>245</v>
      </c>
      <c r="G9" s="580" t="s">
        <v>246</v>
      </c>
      <c r="H9" s="580" t="s">
        <v>247</v>
      </c>
      <c r="I9" s="580" t="s">
        <v>248</v>
      </c>
      <c r="J9" s="581" t="s">
        <v>249</v>
      </c>
      <c r="K9" s="580" t="s">
        <v>250</v>
      </c>
      <c r="L9" s="580" t="s">
        <v>251</v>
      </c>
      <c r="M9" s="575" t="s">
        <v>252</v>
      </c>
      <c r="N9" s="575" t="s">
        <v>255</v>
      </c>
    </row>
    <row r="10" spans="1:20">
      <c r="A10" s="582" t="s">
        <v>806</v>
      </c>
      <c r="B10" s="583">
        <v>1</v>
      </c>
      <c r="C10" s="584">
        <v>1</v>
      </c>
      <c r="D10" s="584">
        <v>1</v>
      </c>
      <c r="F10" s="585" t="s">
        <v>807</v>
      </c>
      <c r="G10" s="584" t="s">
        <v>59</v>
      </c>
      <c r="H10" s="584">
        <v>90.5</v>
      </c>
      <c r="I10" s="584">
        <v>81.900000000000006</v>
      </c>
      <c r="J10" s="586">
        <v>23.6</v>
      </c>
      <c r="K10" s="584">
        <f t="shared" ref="K10:L25" si="0">H10-I10</f>
        <v>8.5999999999999943</v>
      </c>
      <c r="L10" s="584">
        <f t="shared" si="0"/>
        <v>58.300000000000004</v>
      </c>
      <c r="M10" s="587">
        <f t="shared" ref="M10:M18" si="1">K10/L10</f>
        <v>0.14751286449399645</v>
      </c>
      <c r="N10" s="587"/>
    </row>
    <row r="11" spans="1:20">
      <c r="B11" s="583"/>
      <c r="F11" s="585" t="s">
        <v>617</v>
      </c>
      <c r="G11" s="585" t="s">
        <v>262</v>
      </c>
      <c r="H11" s="584">
        <v>86.9</v>
      </c>
      <c r="I11" s="584">
        <v>78.3</v>
      </c>
      <c r="J11" s="586">
        <v>22.7</v>
      </c>
      <c r="K11" s="584">
        <f t="shared" si="0"/>
        <v>8.6000000000000085</v>
      </c>
      <c r="L11" s="584">
        <f t="shared" si="0"/>
        <v>55.599999999999994</v>
      </c>
      <c r="M11" s="587">
        <f t="shared" si="1"/>
        <v>0.15467625899280593</v>
      </c>
      <c r="N11" s="587"/>
    </row>
    <row r="12" spans="1:20">
      <c r="B12" s="583"/>
      <c r="F12" s="585" t="s">
        <v>808</v>
      </c>
      <c r="G12" s="584" t="s">
        <v>60</v>
      </c>
      <c r="H12" s="584">
        <v>89.4</v>
      </c>
      <c r="I12" s="584">
        <v>80.7</v>
      </c>
      <c r="J12" s="586">
        <v>23.7</v>
      </c>
      <c r="K12" s="584">
        <f t="shared" si="0"/>
        <v>8.7000000000000028</v>
      </c>
      <c r="L12" s="584">
        <f t="shared" si="0"/>
        <v>57</v>
      </c>
      <c r="M12" s="587">
        <f t="shared" si="1"/>
        <v>0.15263157894736848</v>
      </c>
      <c r="N12" s="587"/>
    </row>
    <row r="13" spans="1:20">
      <c r="B13" s="583"/>
      <c r="F13" s="585" t="s">
        <v>809</v>
      </c>
      <c r="G13" s="584" t="s">
        <v>61</v>
      </c>
      <c r="H13" s="584">
        <v>89.7</v>
      </c>
      <c r="I13" s="584">
        <v>81</v>
      </c>
      <c r="J13" s="586">
        <v>25.6</v>
      </c>
      <c r="K13" s="584">
        <f t="shared" si="0"/>
        <v>8.7000000000000028</v>
      </c>
      <c r="L13" s="584">
        <f t="shared" si="0"/>
        <v>55.4</v>
      </c>
      <c r="M13" s="587">
        <f t="shared" si="1"/>
        <v>0.15703971119133581</v>
      </c>
      <c r="N13" s="587"/>
    </row>
    <row r="14" spans="1:20">
      <c r="B14" s="583"/>
      <c r="F14" s="585" t="s">
        <v>810</v>
      </c>
      <c r="G14" s="584" t="s">
        <v>62</v>
      </c>
      <c r="H14" s="586">
        <v>117.2</v>
      </c>
      <c r="I14" s="586">
        <v>104</v>
      </c>
      <c r="J14" s="586">
        <v>21.2</v>
      </c>
      <c r="K14" s="584">
        <f>H14-I14</f>
        <v>13.200000000000003</v>
      </c>
      <c r="L14" s="584">
        <f t="shared" si="0"/>
        <v>82.8</v>
      </c>
      <c r="M14" s="587">
        <f t="shared" si="1"/>
        <v>0.15942028985507251</v>
      </c>
      <c r="N14" s="587"/>
    </row>
    <row r="15" spans="1:20">
      <c r="A15" s="582"/>
      <c r="B15" s="583"/>
      <c r="F15" s="585" t="s">
        <v>318</v>
      </c>
      <c r="G15" s="584" t="s">
        <v>63</v>
      </c>
      <c r="H15" s="584">
        <v>101.5</v>
      </c>
      <c r="I15" s="584">
        <v>59.3</v>
      </c>
      <c r="J15" s="586">
        <v>22.4</v>
      </c>
      <c r="K15" s="584">
        <f t="shared" ref="K15:K18" si="2">H15-I15</f>
        <v>42.2</v>
      </c>
      <c r="L15" s="584">
        <f t="shared" si="0"/>
        <v>36.9</v>
      </c>
      <c r="M15" s="587">
        <f t="shared" si="1"/>
        <v>1.1436314363143634</v>
      </c>
      <c r="N15" s="587"/>
    </row>
    <row r="16" spans="1:20">
      <c r="B16" s="583"/>
      <c r="F16" s="585" t="s">
        <v>615</v>
      </c>
      <c r="G16" s="585" t="s">
        <v>64</v>
      </c>
      <c r="H16" s="584">
        <v>92.7</v>
      </c>
      <c r="I16" s="584">
        <v>52.1</v>
      </c>
      <c r="J16" s="586">
        <v>25.9</v>
      </c>
      <c r="K16" s="584">
        <f t="shared" si="2"/>
        <v>40.6</v>
      </c>
      <c r="L16" s="584">
        <f t="shared" si="0"/>
        <v>26.200000000000003</v>
      </c>
      <c r="M16" s="587">
        <f t="shared" si="1"/>
        <v>1.5496183206106868</v>
      </c>
      <c r="N16" s="587"/>
    </row>
    <row r="17" spans="1:14">
      <c r="B17" s="583"/>
      <c r="F17" s="585" t="s">
        <v>261</v>
      </c>
      <c r="G17" s="584" t="s">
        <v>65</v>
      </c>
      <c r="H17" s="584">
        <v>102.5</v>
      </c>
      <c r="I17" s="584">
        <v>86.9</v>
      </c>
      <c r="J17" s="586">
        <v>21</v>
      </c>
      <c r="K17" s="584">
        <f t="shared" si="2"/>
        <v>15.599999999999994</v>
      </c>
      <c r="L17" s="584">
        <f t="shared" si="0"/>
        <v>65.900000000000006</v>
      </c>
      <c r="M17" s="587">
        <f t="shared" si="1"/>
        <v>0.23672230652503784</v>
      </c>
      <c r="N17" s="587"/>
    </row>
    <row r="18" spans="1:14">
      <c r="B18" s="583"/>
      <c r="F18" s="585" t="s">
        <v>811</v>
      </c>
      <c r="G18" s="584" t="s">
        <v>66</v>
      </c>
      <c r="H18" s="584">
        <v>100.3</v>
      </c>
      <c r="I18" s="584">
        <v>85.7</v>
      </c>
      <c r="J18" s="586">
        <v>23.6</v>
      </c>
      <c r="K18" s="584">
        <f t="shared" si="2"/>
        <v>14.599999999999994</v>
      </c>
      <c r="L18" s="584">
        <f t="shared" si="0"/>
        <v>62.1</v>
      </c>
      <c r="M18" s="587">
        <f t="shared" si="1"/>
        <v>0.23510466988727849</v>
      </c>
      <c r="N18" s="587"/>
    </row>
    <row r="19" spans="1:14">
      <c r="B19" s="583"/>
      <c r="F19" s="585" t="s">
        <v>602</v>
      </c>
      <c r="G19" s="584" t="s">
        <v>67</v>
      </c>
      <c r="H19" s="586">
        <v>115.1</v>
      </c>
      <c r="I19" s="586">
        <v>97</v>
      </c>
      <c r="J19" s="586">
        <v>21.1</v>
      </c>
      <c r="K19" s="584">
        <f>H19-I19</f>
        <v>18.099999999999994</v>
      </c>
      <c r="L19" s="584">
        <f t="shared" si="0"/>
        <v>75.900000000000006</v>
      </c>
      <c r="M19" s="587">
        <f>K19/L19</f>
        <v>0.23847167325428187</v>
      </c>
      <c r="N19" s="587"/>
    </row>
    <row r="20" spans="1:14">
      <c r="A20" s="582" t="s">
        <v>806</v>
      </c>
      <c r="B20" s="583">
        <v>2</v>
      </c>
      <c r="C20" s="584">
        <v>1</v>
      </c>
      <c r="D20" s="584">
        <v>2</v>
      </c>
      <c r="F20" s="585" t="s">
        <v>610</v>
      </c>
      <c r="G20" s="584" t="s">
        <v>59</v>
      </c>
      <c r="H20" s="584">
        <v>84</v>
      </c>
      <c r="I20" s="584">
        <v>75.5</v>
      </c>
      <c r="J20" s="586">
        <v>21.3</v>
      </c>
      <c r="K20" s="584">
        <f t="shared" ref="K20:K23" si="3">H20-I20</f>
        <v>8.5</v>
      </c>
      <c r="L20" s="584">
        <f t="shared" si="0"/>
        <v>54.2</v>
      </c>
      <c r="M20" s="587">
        <f t="shared" ref="M20:M28" si="4">K20/L20</f>
        <v>0.15682656826568264</v>
      </c>
      <c r="N20" s="587"/>
    </row>
    <row r="21" spans="1:14">
      <c r="B21" s="583"/>
      <c r="F21" s="585" t="s">
        <v>812</v>
      </c>
      <c r="G21" s="585" t="s">
        <v>262</v>
      </c>
      <c r="H21" s="584">
        <v>86.2</v>
      </c>
      <c r="I21" s="584">
        <v>77.400000000000006</v>
      </c>
      <c r="J21" s="586">
        <v>22.6</v>
      </c>
      <c r="K21" s="584">
        <f t="shared" si="3"/>
        <v>8.7999999999999972</v>
      </c>
      <c r="L21" s="584">
        <f t="shared" si="0"/>
        <v>54.800000000000004</v>
      </c>
      <c r="M21" s="587">
        <f t="shared" si="4"/>
        <v>0.16058394160583936</v>
      </c>
      <c r="N21" s="587"/>
    </row>
    <row r="22" spans="1:14">
      <c r="B22" s="583"/>
      <c r="F22" s="585" t="s">
        <v>813</v>
      </c>
      <c r="G22" s="584" t="s">
        <v>60</v>
      </c>
      <c r="H22" s="584">
        <v>91.9</v>
      </c>
      <c r="I22" s="584">
        <v>83.1</v>
      </c>
      <c r="J22" s="586">
        <v>28.4</v>
      </c>
      <c r="K22" s="584">
        <f t="shared" si="3"/>
        <v>8.8000000000000114</v>
      </c>
      <c r="L22" s="584">
        <f t="shared" si="0"/>
        <v>54.699999999999996</v>
      </c>
      <c r="M22" s="587">
        <f t="shared" si="4"/>
        <v>0.16087751371115197</v>
      </c>
      <c r="N22" s="587"/>
    </row>
    <row r="23" spans="1:14">
      <c r="B23" s="583"/>
      <c r="F23" s="585" t="s">
        <v>612</v>
      </c>
      <c r="G23" s="584" t="s">
        <v>61</v>
      </c>
      <c r="H23" s="584">
        <v>98.2</v>
      </c>
      <c r="I23" s="584">
        <v>87.4</v>
      </c>
      <c r="J23" s="586">
        <v>23.5</v>
      </c>
      <c r="K23" s="584">
        <f t="shared" si="3"/>
        <v>10.799999999999997</v>
      </c>
      <c r="L23" s="584">
        <f t="shared" si="0"/>
        <v>63.900000000000006</v>
      </c>
      <c r="M23" s="587">
        <f t="shared" si="4"/>
        <v>0.16901408450704219</v>
      </c>
      <c r="N23" s="587"/>
    </row>
    <row r="24" spans="1:14">
      <c r="B24" s="583"/>
      <c r="F24" s="585" t="s">
        <v>814</v>
      </c>
      <c r="G24" s="584" t="s">
        <v>62</v>
      </c>
      <c r="H24" s="586">
        <v>107</v>
      </c>
      <c r="I24" s="586">
        <v>93.7</v>
      </c>
      <c r="J24" s="586">
        <v>26.3</v>
      </c>
      <c r="K24" s="584">
        <f>H24-I24</f>
        <v>13.299999999999997</v>
      </c>
      <c r="L24" s="584">
        <f t="shared" si="0"/>
        <v>67.400000000000006</v>
      </c>
      <c r="M24" s="587">
        <f t="shared" si="4"/>
        <v>0.19732937685459934</v>
      </c>
      <c r="N24" s="587"/>
    </row>
    <row r="25" spans="1:14">
      <c r="A25" s="582"/>
      <c r="B25" s="583"/>
      <c r="F25" s="585" t="s">
        <v>618</v>
      </c>
      <c r="G25" s="584" t="s">
        <v>63</v>
      </c>
      <c r="H25" s="584">
        <v>107.3</v>
      </c>
      <c r="I25" s="584">
        <v>90.6</v>
      </c>
      <c r="J25" s="586">
        <v>23.2</v>
      </c>
      <c r="K25" s="584">
        <f t="shared" ref="K25:L40" si="5">H25-I25</f>
        <v>16.700000000000003</v>
      </c>
      <c r="L25" s="584">
        <f t="shared" si="0"/>
        <v>67.399999999999991</v>
      </c>
      <c r="M25" s="587">
        <f t="shared" si="4"/>
        <v>0.24777448071216623</v>
      </c>
      <c r="N25" s="587"/>
    </row>
    <row r="26" spans="1:14">
      <c r="B26" s="583"/>
      <c r="F26" s="585" t="s">
        <v>815</v>
      </c>
      <c r="G26" s="585" t="s">
        <v>64</v>
      </c>
      <c r="H26" s="584">
        <v>96.7</v>
      </c>
      <c r="I26" s="584">
        <v>85</v>
      </c>
      <c r="J26" s="586">
        <v>29.7</v>
      </c>
      <c r="K26" s="584">
        <f t="shared" si="5"/>
        <v>11.700000000000003</v>
      </c>
      <c r="L26" s="584">
        <f t="shared" si="5"/>
        <v>55.3</v>
      </c>
      <c r="M26" s="587">
        <f t="shared" si="4"/>
        <v>0.21157323688969265</v>
      </c>
      <c r="N26" s="587"/>
    </row>
    <row r="27" spans="1:14">
      <c r="B27" s="583"/>
      <c r="F27" s="585" t="s">
        <v>816</v>
      </c>
      <c r="G27" s="584" t="s">
        <v>65</v>
      </c>
      <c r="H27" s="584">
        <v>104.1</v>
      </c>
      <c r="I27" s="584">
        <v>91.6</v>
      </c>
      <c r="J27" s="586">
        <v>22.5</v>
      </c>
      <c r="K27" s="584">
        <f t="shared" si="5"/>
        <v>12.5</v>
      </c>
      <c r="L27" s="584">
        <f t="shared" si="5"/>
        <v>69.099999999999994</v>
      </c>
      <c r="M27" s="587">
        <f t="shared" si="4"/>
        <v>0.18089725036179452</v>
      </c>
      <c r="N27" s="587"/>
    </row>
    <row r="28" spans="1:14">
      <c r="B28" s="583"/>
      <c r="F28" s="585" t="s">
        <v>817</v>
      </c>
      <c r="G28" s="584" t="s">
        <v>66</v>
      </c>
      <c r="H28" s="584">
        <v>80.7</v>
      </c>
      <c r="I28" s="584">
        <v>74.3</v>
      </c>
      <c r="J28" s="586">
        <v>22.4</v>
      </c>
      <c r="K28" s="584">
        <f t="shared" si="5"/>
        <v>6.4000000000000057</v>
      </c>
      <c r="L28" s="584">
        <f t="shared" si="5"/>
        <v>51.9</v>
      </c>
      <c r="M28" s="587">
        <f t="shared" si="4"/>
        <v>0.12331406551059741</v>
      </c>
      <c r="N28" s="587"/>
    </row>
    <row r="29" spans="1:14">
      <c r="B29" s="583"/>
      <c r="F29" s="585" t="s">
        <v>818</v>
      </c>
      <c r="G29" s="584" t="s">
        <v>67</v>
      </c>
      <c r="H29" s="586">
        <v>109.2</v>
      </c>
      <c r="I29" s="586">
        <v>90.4</v>
      </c>
      <c r="J29" s="586">
        <v>24</v>
      </c>
      <c r="K29" s="584">
        <f>H29-I29</f>
        <v>18.799999999999997</v>
      </c>
      <c r="L29" s="584">
        <f t="shared" si="5"/>
        <v>66.400000000000006</v>
      </c>
      <c r="M29" s="587">
        <f>K29/L29</f>
        <v>0.28313253012048184</v>
      </c>
      <c r="N29" s="587"/>
    </row>
    <row r="30" spans="1:14">
      <c r="A30" s="582" t="s">
        <v>806</v>
      </c>
      <c r="B30" s="583">
        <v>3</v>
      </c>
      <c r="C30" s="584">
        <v>1</v>
      </c>
      <c r="D30" s="584">
        <v>3</v>
      </c>
      <c r="F30" s="585" t="s">
        <v>290</v>
      </c>
      <c r="G30" s="584" t="s">
        <v>59</v>
      </c>
      <c r="H30" s="584">
        <v>89.5</v>
      </c>
      <c r="I30" s="584">
        <v>81.400000000000006</v>
      </c>
      <c r="J30" s="586">
        <v>22.7</v>
      </c>
      <c r="K30" s="584">
        <f t="shared" ref="K30:K33" si="6">H30-I30</f>
        <v>8.0999999999999943</v>
      </c>
      <c r="L30" s="584">
        <f t="shared" si="5"/>
        <v>58.7</v>
      </c>
      <c r="M30" s="587">
        <f t="shared" ref="M30:M38" si="7">K30/L30</f>
        <v>0.13798977853492322</v>
      </c>
      <c r="N30" s="587"/>
    </row>
    <row r="31" spans="1:14">
      <c r="B31" s="583"/>
      <c r="F31" s="585" t="s">
        <v>303</v>
      </c>
      <c r="G31" s="585" t="s">
        <v>262</v>
      </c>
      <c r="H31" s="584">
        <v>72.7</v>
      </c>
      <c r="I31" s="584">
        <v>66.5</v>
      </c>
      <c r="J31" s="586">
        <v>22</v>
      </c>
      <c r="K31" s="584">
        <f t="shared" si="6"/>
        <v>6.2000000000000028</v>
      </c>
      <c r="L31" s="584">
        <f t="shared" si="5"/>
        <v>44.5</v>
      </c>
      <c r="M31" s="587">
        <f t="shared" si="7"/>
        <v>0.13932584269662929</v>
      </c>
      <c r="N31" s="587"/>
    </row>
    <row r="32" spans="1:14">
      <c r="B32" s="583"/>
      <c r="F32" s="585" t="s">
        <v>288</v>
      </c>
      <c r="G32" s="584" t="s">
        <v>60</v>
      </c>
      <c r="H32" s="584">
        <v>91</v>
      </c>
      <c r="I32" s="584">
        <v>82.1</v>
      </c>
      <c r="J32" s="586">
        <v>22.4</v>
      </c>
      <c r="K32" s="584">
        <f t="shared" si="6"/>
        <v>8.9000000000000057</v>
      </c>
      <c r="L32" s="584">
        <f t="shared" si="5"/>
        <v>59.699999999999996</v>
      </c>
      <c r="M32" s="587">
        <f t="shared" si="7"/>
        <v>0.14907872696817431</v>
      </c>
      <c r="N32" s="587"/>
    </row>
    <row r="33" spans="1:14">
      <c r="B33" s="583"/>
      <c r="F33" s="585" t="s">
        <v>819</v>
      </c>
      <c r="G33" s="584" t="s">
        <v>61</v>
      </c>
      <c r="H33" s="584">
        <v>97.3</v>
      </c>
      <c r="I33" s="584">
        <v>88.3</v>
      </c>
      <c r="J33" s="586">
        <v>26.8</v>
      </c>
      <c r="K33" s="584">
        <f t="shared" si="6"/>
        <v>9</v>
      </c>
      <c r="L33" s="584">
        <f t="shared" si="5"/>
        <v>61.5</v>
      </c>
      <c r="M33" s="587">
        <f t="shared" si="7"/>
        <v>0.14634146341463414</v>
      </c>
      <c r="N33" s="587"/>
    </row>
    <row r="34" spans="1:14">
      <c r="B34" s="583"/>
      <c r="F34" s="585" t="s">
        <v>820</v>
      </c>
      <c r="G34" s="584" t="s">
        <v>62</v>
      </c>
      <c r="H34" s="586">
        <v>88</v>
      </c>
      <c r="I34" s="586">
        <v>80.400000000000006</v>
      </c>
      <c r="J34" s="586">
        <v>22.7</v>
      </c>
      <c r="K34" s="584">
        <f>H34-I34</f>
        <v>7.5999999999999943</v>
      </c>
      <c r="L34" s="584">
        <f t="shared" si="5"/>
        <v>57.7</v>
      </c>
      <c r="M34" s="587">
        <f t="shared" si="7"/>
        <v>0.13171577123050249</v>
      </c>
      <c r="N34" s="587"/>
    </row>
    <row r="35" spans="1:14">
      <c r="A35" s="582"/>
      <c r="B35" s="583"/>
      <c r="F35" s="585" t="s">
        <v>608</v>
      </c>
      <c r="G35" s="584" t="s">
        <v>63</v>
      </c>
      <c r="H35" s="584">
        <v>96.2</v>
      </c>
      <c r="I35" s="584">
        <v>83.9</v>
      </c>
      <c r="J35" s="586">
        <v>22.3</v>
      </c>
      <c r="K35" s="584">
        <f t="shared" ref="K35:K38" si="8">H35-I35</f>
        <v>12.299999999999997</v>
      </c>
      <c r="L35" s="584">
        <f t="shared" si="5"/>
        <v>61.600000000000009</v>
      </c>
      <c r="M35" s="587">
        <f t="shared" si="7"/>
        <v>0.19967532467532459</v>
      </c>
      <c r="N35" s="587"/>
    </row>
    <row r="36" spans="1:14">
      <c r="B36" s="583"/>
      <c r="F36" s="585" t="s">
        <v>328</v>
      </c>
      <c r="G36" s="585" t="s">
        <v>64</v>
      </c>
      <c r="H36" s="584">
        <v>90.6</v>
      </c>
      <c r="I36" s="584">
        <v>80.599999999999994</v>
      </c>
      <c r="J36" s="586">
        <v>21.1</v>
      </c>
      <c r="K36" s="584">
        <f t="shared" si="8"/>
        <v>10</v>
      </c>
      <c r="L36" s="584">
        <f t="shared" si="5"/>
        <v>59.499999999999993</v>
      </c>
      <c r="M36" s="587">
        <f t="shared" si="7"/>
        <v>0.16806722689075632</v>
      </c>
      <c r="N36" s="587"/>
    </row>
    <row r="37" spans="1:14">
      <c r="B37" s="583"/>
      <c r="F37" s="585" t="s">
        <v>821</v>
      </c>
      <c r="G37" s="584" t="s">
        <v>65</v>
      </c>
      <c r="H37" s="584">
        <v>100.1</v>
      </c>
      <c r="I37" s="584">
        <v>84.5</v>
      </c>
      <c r="J37" s="586">
        <v>22.3</v>
      </c>
      <c r="K37" s="584">
        <f t="shared" si="8"/>
        <v>15.599999999999994</v>
      </c>
      <c r="L37" s="584">
        <f t="shared" si="5"/>
        <v>62.2</v>
      </c>
      <c r="M37" s="587">
        <f t="shared" si="7"/>
        <v>0.2508038585209002</v>
      </c>
      <c r="N37" s="587"/>
    </row>
    <row r="38" spans="1:14">
      <c r="B38" s="583"/>
      <c r="F38" s="585" t="s">
        <v>619</v>
      </c>
      <c r="G38" s="584" t="s">
        <v>66</v>
      </c>
      <c r="H38" s="584">
        <v>92.4</v>
      </c>
      <c r="I38" s="584">
        <v>76.400000000000006</v>
      </c>
      <c r="J38" s="586">
        <v>25.6</v>
      </c>
      <c r="K38" s="584">
        <f t="shared" si="8"/>
        <v>16</v>
      </c>
      <c r="L38" s="584">
        <f t="shared" si="5"/>
        <v>50.800000000000004</v>
      </c>
      <c r="M38" s="587">
        <f t="shared" si="7"/>
        <v>0.31496062992125984</v>
      </c>
      <c r="N38" s="587"/>
    </row>
    <row r="39" spans="1:14">
      <c r="B39" s="583"/>
      <c r="F39" s="585" t="s">
        <v>265</v>
      </c>
      <c r="G39" s="584" t="s">
        <v>67</v>
      </c>
      <c r="H39" s="586">
        <v>98.3</v>
      </c>
      <c r="I39" s="586">
        <v>80.900000000000006</v>
      </c>
      <c r="J39" s="586">
        <v>21.2</v>
      </c>
      <c r="K39" s="584">
        <f>H39-I39</f>
        <v>17.399999999999991</v>
      </c>
      <c r="L39" s="584">
        <f t="shared" si="5"/>
        <v>59.7</v>
      </c>
      <c r="M39" s="587">
        <f>K39/L39</f>
        <v>0.29145728643216062</v>
      </c>
      <c r="N39" s="587"/>
    </row>
    <row r="40" spans="1:14">
      <c r="A40" s="582" t="s">
        <v>806</v>
      </c>
      <c r="B40" s="583">
        <v>4</v>
      </c>
      <c r="C40" s="584">
        <v>2</v>
      </c>
      <c r="D40" s="584">
        <v>1</v>
      </c>
      <c r="F40" s="585" t="s">
        <v>603</v>
      </c>
      <c r="G40" s="584" t="s">
        <v>59</v>
      </c>
      <c r="H40" s="584">
        <v>87.4</v>
      </c>
      <c r="I40" s="584">
        <v>78.8</v>
      </c>
      <c r="J40" s="586">
        <v>21.4</v>
      </c>
      <c r="K40" s="584">
        <f t="shared" ref="K40:L55" si="9">H40-I40</f>
        <v>8.6000000000000085</v>
      </c>
      <c r="L40" s="584">
        <f t="shared" si="5"/>
        <v>57.4</v>
      </c>
      <c r="M40" s="587">
        <f t="shared" ref="M40:M48" si="10">K40/L40</f>
        <v>0.14982578397212559</v>
      </c>
      <c r="N40" s="587"/>
    </row>
    <row r="41" spans="1:14">
      <c r="B41" s="583"/>
      <c r="F41" s="585" t="s">
        <v>538</v>
      </c>
      <c r="G41" s="585" t="s">
        <v>262</v>
      </c>
      <c r="H41" s="584">
        <v>91.7</v>
      </c>
      <c r="I41" s="584">
        <v>82.7</v>
      </c>
      <c r="J41" s="586">
        <v>24.1</v>
      </c>
      <c r="K41" s="584">
        <f t="shared" si="9"/>
        <v>9</v>
      </c>
      <c r="L41" s="584">
        <f t="shared" si="9"/>
        <v>58.6</v>
      </c>
      <c r="M41" s="587">
        <f t="shared" si="10"/>
        <v>0.15358361774744028</v>
      </c>
      <c r="N41" s="587"/>
    </row>
    <row r="42" spans="1:14">
      <c r="B42" s="583"/>
      <c r="F42" s="585" t="s">
        <v>268</v>
      </c>
      <c r="G42" s="584" t="s">
        <v>60</v>
      </c>
      <c r="H42" s="584">
        <v>109.1</v>
      </c>
      <c r="I42" s="584">
        <v>97.6</v>
      </c>
      <c r="J42" s="586">
        <v>22.3</v>
      </c>
      <c r="K42" s="584">
        <f t="shared" si="9"/>
        <v>11.5</v>
      </c>
      <c r="L42" s="584">
        <f t="shared" si="9"/>
        <v>75.3</v>
      </c>
      <c r="M42" s="587">
        <f t="shared" si="10"/>
        <v>0.15272244355909695</v>
      </c>
      <c r="N42" s="587"/>
    </row>
    <row r="43" spans="1:14">
      <c r="B43" s="583"/>
      <c r="F43" s="585" t="s">
        <v>264</v>
      </c>
      <c r="G43" s="584" t="s">
        <v>61</v>
      </c>
      <c r="H43" s="584">
        <v>105.3</v>
      </c>
      <c r="I43" s="584">
        <v>93.9</v>
      </c>
      <c r="J43" s="586">
        <v>21.4</v>
      </c>
      <c r="K43" s="584">
        <f t="shared" si="9"/>
        <v>11.399999999999991</v>
      </c>
      <c r="L43" s="584">
        <f t="shared" si="9"/>
        <v>72.5</v>
      </c>
      <c r="M43" s="587">
        <f t="shared" si="10"/>
        <v>0.15724137931034471</v>
      </c>
      <c r="N43" s="587"/>
    </row>
    <row r="44" spans="1:14">
      <c r="B44" s="583"/>
      <c r="F44" s="585" t="s">
        <v>611</v>
      </c>
      <c r="G44" s="584" t="s">
        <v>62</v>
      </c>
      <c r="H44" s="586">
        <v>100.2</v>
      </c>
      <c r="I44" s="586">
        <v>87.5</v>
      </c>
      <c r="J44" s="586">
        <v>23.7</v>
      </c>
      <c r="K44" s="584">
        <f>H44-I44</f>
        <v>12.700000000000003</v>
      </c>
      <c r="L44" s="584">
        <f t="shared" si="9"/>
        <v>63.8</v>
      </c>
      <c r="M44" s="587">
        <f t="shared" si="10"/>
        <v>0.19905956112852671</v>
      </c>
      <c r="N44" s="587"/>
    </row>
    <row r="45" spans="1:14">
      <c r="A45" s="582"/>
      <c r="B45" s="583"/>
      <c r="F45" s="585" t="s">
        <v>822</v>
      </c>
      <c r="G45" s="584" t="s">
        <v>63</v>
      </c>
      <c r="H45" s="584">
        <v>106.5</v>
      </c>
      <c r="I45" s="584">
        <v>88.9</v>
      </c>
      <c r="J45" s="586">
        <v>22.5</v>
      </c>
      <c r="K45" s="584">
        <f t="shared" ref="K45:K48" si="11">H45-I45</f>
        <v>17.599999999999994</v>
      </c>
      <c r="L45" s="584">
        <f t="shared" si="9"/>
        <v>66.400000000000006</v>
      </c>
      <c r="M45" s="587">
        <f t="shared" si="10"/>
        <v>0.26506024096385533</v>
      </c>
      <c r="N45" s="587"/>
    </row>
    <row r="46" spans="1:14">
      <c r="B46" s="583"/>
      <c r="F46" s="585" t="s">
        <v>607</v>
      </c>
      <c r="G46" s="585" t="s">
        <v>64</v>
      </c>
      <c r="H46" s="584">
        <v>90.9</v>
      </c>
      <c r="I46" s="584">
        <v>83.1</v>
      </c>
      <c r="J46" s="586">
        <v>23.6</v>
      </c>
      <c r="K46" s="584">
        <f t="shared" si="11"/>
        <v>7.8000000000000114</v>
      </c>
      <c r="L46" s="584">
        <f t="shared" si="9"/>
        <v>59.499999999999993</v>
      </c>
      <c r="M46" s="587">
        <f t="shared" si="10"/>
        <v>0.13109243697479012</v>
      </c>
      <c r="N46" s="587"/>
    </row>
    <row r="47" spans="1:14">
      <c r="B47" s="583"/>
      <c r="F47" s="585" t="s">
        <v>277</v>
      </c>
      <c r="G47" s="584" t="s">
        <v>65</v>
      </c>
      <c r="H47" s="584">
        <v>68.400000000000006</v>
      </c>
      <c r="I47" s="584">
        <v>62.1</v>
      </c>
      <c r="J47" s="586">
        <v>21.9</v>
      </c>
      <c r="K47" s="584">
        <f t="shared" si="11"/>
        <v>6.3000000000000043</v>
      </c>
      <c r="L47" s="584">
        <f t="shared" si="9"/>
        <v>40.200000000000003</v>
      </c>
      <c r="M47" s="587">
        <f t="shared" si="10"/>
        <v>0.15671641791044785</v>
      </c>
      <c r="N47" s="587"/>
    </row>
    <row r="48" spans="1:14">
      <c r="B48" s="583"/>
      <c r="F48" s="585" t="s">
        <v>271</v>
      </c>
      <c r="G48" s="584" t="s">
        <v>66</v>
      </c>
      <c r="H48" s="584">
        <v>96</v>
      </c>
      <c r="I48" s="584">
        <v>83.9</v>
      </c>
      <c r="J48" s="586">
        <v>22</v>
      </c>
      <c r="K48" s="584">
        <f t="shared" si="11"/>
        <v>12.099999999999994</v>
      </c>
      <c r="L48" s="584">
        <f t="shared" si="9"/>
        <v>61.900000000000006</v>
      </c>
      <c r="M48" s="587">
        <f t="shared" si="10"/>
        <v>0.19547657512116307</v>
      </c>
      <c r="N48" s="587"/>
    </row>
    <row r="49" spans="1:14">
      <c r="B49" s="583"/>
      <c r="F49" s="585" t="s">
        <v>363</v>
      </c>
      <c r="G49" s="584" t="s">
        <v>67</v>
      </c>
      <c r="H49" s="586">
        <v>108.3</v>
      </c>
      <c r="I49" s="586">
        <v>91.4</v>
      </c>
      <c r="J49" s="586">
        <v>25.8</v>
      </c>
      <c r="K49" s="584">
        <f>H49-I49</f>
        <v>16.899999999999991</v>
      </c>
      <c r="L49" s="584">
        <f t="shared" si="9"/>
        <v>65.600000000000009</v>
      </c>
      <c r="M49" s="587">
        <f>K49/L49</f>
        <v>0.25762195121951204</v>
      </c>
      <c r="N49" s="587"/>
    </row>
    <row r="50" spans="1:14">
      <c r="A50" s="582" t="s">
        <v>806</v>
      </c>
      <c r="B50" s="583">
        <v>5</v>
      </c>
      <c r="C50" s="584">
        <v>2</v>
      </c>
      <c r="D50" s="584">
        <v>2</v>
      </c>
      <c r="F50" s="585" t="s">
        <v>599</v>
      </c>
      <c r="G50" s="584" t="s">
        <v>59</v>
      </c>
      <c r="H50" s="584">
        <v>98</v>
      </c>
      <c r="I50" s="584">
        <v>88.1</v>
      </c>
      <c r="J50" s="586">
        <v>23.1</v>
      </c>
      <c r="K50" s="584">
        <f t="shared" ref="K50:K53" si="12">H50-I50</f>
        <v>9.9000000000000057</v>
      </c>
      <c r="L50" s="584">
        <f t="shared" si="9"/>
        <v>65</v>
      </c>
      <c r="M50" s="587">
        <f t="shared" ref="M50:M58" si="13">K50/L50</f>
        <v>0.15230769230769239</v>
      </c>
      <c r="N50" s="587"/>
    </row>
    <row r="51" spans="1:14">
      <c r="B51" s="583"/>
      <c r="F51" s="585" t="s">
        <v>823</v>
      </c>
      <c r="G51" s="585" t="s">
        <v>262</v>
      </c>
      <c r="H51" s="584">
        <v>97.8</v>
      </c>
      <c r="I51" s="584">
        <v>87.4</v>
      </c>
      <c r="J51" s="586">
        <v>23.7</v>
      </c>
      <c r="K51" s="584">
        <f t="shared" si="12"/>
        <v>10.399999999999991</v>
      </c>
      <c r="L51" s="584">
        <f>I51-J51</f>
        <v>63.7</v>
      </c>
      <c r="M51" s="587">
        <f t="shared" si="13"/>
        <v>0.16326530612244883</v>
      </c>
      <c r="N51" s="587"/>
    </row>
    <row r="52" spans="1:14">
      <c r="B52" s="583"/>
      <c r="F52" s="585" t="s">
        <v>317</v>
      </c>
      <c r="G52" s="584" t="s">
        <v>60</v>
      </c>
      <c r="H52" s="584">
        <v>103.5</v>
      </c>
      <c r="I52" s="584">
        <v>92.2</v>
      </c>
      <c r="J52" s="586">
        <v>21.9</v>
      </c>
      <c r="K52" s="584">
        <f t="shared" si="12"/>
        <v>11.299999999999997</v>
      </c>
      <c r="L52" s="584">
        <f t="shared" si="9"/>
        <v>70.300000000000011</v>
      </c>
      <c r="M52" s="587">
        <f t="shared" si="13"/>
        <v>0.16073968705547645</v>
      </c>
      <c r="N52" s="587"/>
    </row>
    <row r="53" spans="1:14">
      <c r="B53" s="583"/>
      <c r="F53" s="585" t="s">
        <v>623</v>
      </c>
      <c r="G53" s="584" t="s">
        <v>61</v>
      </c>
      <c r="H53" s="584">
        <v>97.8</v>
      </c>
      <c r="I53" s="584">
        <v>87.7</v>
      </c>
      <c r="J53" s="586">
        <v>22.6</v>
      </c>
      <c r="K53" s="584">
        <f t="shared" si="12"/>
        <v>10.099999999999994</v>
      </c>
      <c r="L53" s="584">
        <f t="shared" si="9"/>
        <v>65.099999999999994</v>
      </c>
      <c r="M53" s="587">
        <f t="shared" si="13"/>
        <v>0.15514592933947766</v>
      </c>
      <c r="N53" s="587"/>
    </row>
    <row r="54" spans="1:14">
      <c r="B54" s="583"/>
      <c r="F54" s="585" t="s">
        <v>614</v>
      </c>
      <c r="G54" s="584" t="s">
        <v>62</v>
      </c>
      <c r="H54" s="586">
        <v>94.5</v>
      </c>
      <c r="I54" s="586">
        <v>84.2</v>
      </c>
      <c r="J54" s="586">
        <v>24.9</v>
      </c>
      <c r="K54" s="584">
        <f>H54-I54</f>
        <v>10.299999999999997</v>
      </c>
      <c r="L54" s="584">
        <f t="shared" si="9"/>
        <v>59.300000000000004</v>
      </c>
      <c r="M54" s="587">
        <f t="shared" si="13"/>
        <v>0.17369308600337263</v>
      </c>
      <c r="N54" s="587"/>
    </row>
    <row r="55" spans="1:14">
      <c r="A55" s="582"/>
      <c r="B55" s="583"/>
      <c r="F55" s="585" t="s">
        <v>824</v>
      </c>
      <c r="G55" s="584" t="s">
        <v>63</v>
      </c>
      <c r="H55" s="584">
        <v>110.4</v>
      </c>
      <c r="I55" s="584">
        <v>93.6</v>
      </c>
      <c r="J55" s="586">
        <v>29.9</v>
      </c>
      <c r="K55" s="584">
        <f t="shared" ref="K55:L70" si="14">H55-I55</f>
        <v>16.800000000000011</v>
      </c>
      <c r="L55" s="584">
        <f t="shared" si="9"/>
        <v>63.699999999999996</v>
      </c>
      <c r="M55" s="587">
        <f t="shared" si="13"/>
        <v>0.26373626373626391</v>
      </c>
      <c r="N55" s="587"/>
    </row>
    <row r="56" spans="1:14">
      <c r="B56" s="583"/>
      <c r="F56" s="585" t="s">
        <v>613</v>
      </c>
      <c r="G56" s="585" t="s">
        <v>64</v>
      </c>
      <c r="H56" s="584">
        <v>102.2</v>
      </c>
      <c r="I56" s="584">
        <v>85.3</v>
      </c>
      <c r="J56" s="586">
        <v>22.9</v>
      </c>
      <c r="K56" s="584">
        <f t="shared" si="14"/>
        <v>16.900000000000006</v>
      </c>
      <c r="L56" s="584">
        <f t="shared" si="14"/>
        <v>62.4</v>
      </c>
      <c r="M56" s="587">
        <f t="shared" si="13"/>
        <v>0.27083333333333343</v>
      </c>
      <c r="N56" s="587"/>
    </row>
    <row r="57" spans="1:14">
      <c r="B57" s="583"/>
      <c r="F57" s="585" t="s">
        <v>825</v>
      </c>
      <c r="G57" s="584" t="s">
        <v>65</v>
      </c>
      <c r="H57" s="584">
        <v>119.9</v>
      </c>
      <c r="I57" s="584">
        <v>101</v>
      </c>
      <c r="J57" s="586">
        <v>25.6</v>
      </c>
      <c r="K57" s="584">
        <f t="shared" si="14"/>
        <v>18.900000000000006</v>
      </c>
      <c r="L57" s="584">
        <f t="shared" si="14"/>
        <v>75.400000000000006</v>
      </c>
      <c r="M57" s="587">
        <f t="shared" si="13"/>
        <v>0.25066312997347484</v>
      </c>
      <c r="N57" s="587"/>
    </row>
    <row r="58" spans="1:14">
      <c r="B58" s="583"/>
      <c r="F58" s="585" t="s">
        <v>826</v>
      </c>
      <c r="G58" s="584" t="s">
        <v>66</v>
      </c>
      <c r="H58" s="584">
        <v>110.6</v>
      </c>
      <c r="I58" s="584">
        <v>93</v>
      </c>
      <c r="J58" s="586">
        <v>23.6</v>
      </c>
      <c r="K58" s="584">
        <f t="shared" si="14"/>
        <v>17.599999999999994</v>
      </c>
      <c r="L58" s="584">
        <f t="shared" si="14"/>
        <v>69.400000000000006</v>
      </c>
      <c r="M58" s="587">
        <f t="shared" si="13"/>
        <v>0.25360230547550422</v>
      </c>
      <c r="N58" s="587"/>
    </row>
    <row r="59" spans="1:14">
      <c r="B59" s="583"/>
      <c r="F59" s="585" t="s">
        <v>601</v>
      </c>
      <c r="G59" s="584" t="s">
        <v>67</v>
      </c>
      <c r="H59" s="586">
        <v>104.9</v>
      </c>
      <c r="I59" s="586">
        <v>89.2</v>
      </c>
      <c r="J59" s="586">
        <v>24.7</v>
      </c>
      <c r="K59" s="584">
        <f>H59-I59</f>
        <v>15.700000000000003</v>
      </c>
      <c r="L59" s="584">
        <f t="shared" si="14"/>
        <v>64.5</v>
      </c>
      <c r="M59" s="587">
        <f>K59/L59</f>
        <v>0.24341085271317833</v>
      </c>
      <c r="N59" s="587"/>
    </row>
    <row r="60" spans="1:14">
      <c r="A60" s="582" t="s">
        <v>806</v>
      </c>
      <c r="B60" s="583">
        <v>6</v>
      </c>
      <c r="C60" s="584">
        <v>2</v>
      </c>
      <c r="D60" s="584">
        <v>3</v>
      </c>
      <c r="F60" s="585" t="s">
        <v>297</v>
      </c>
      <c r="G60" s="584" t="s">
        <v>59</v>
      </c>
      <c r="H60" s="584">
        <v>98.9</v>
      </c>
      <c r="I60" s="584">
        <v>88.6</v>
      </c>
      <c r="J60" s="586">
        <v>21.2</v>
      </c>
      <c r="K60" s="584">
        <f t="shared" ref="K60:K63" si="15">H60-I60</f>
        <v>10.300000000000011</v>
      </c>
      <c r="L60" s="584">
        <f t="shared" si="14"/>
        <v>67.399999999999991</v>
      </c>
      <c r="M60" s="587">
        <f t="shared" ref="M60:M68" si="16">K60/L60</f>
        <v>0.15281899109792305</v>
      </c>
      <c r="N60" s="587"/>
    </row>
    <row r="61" spans="1:14">
      <c r="B61" s="583"/>
      <c r="F61" s="585" t="s">
        <v>289</v>
      </c>
      <c r="G61" s="585" t="s">
        <v>262</v>
      </c>
      <c r="H61" s="584">
        <v>88.2</v>
      </c>
      <c r="I61" s="584">
        <v>77.099999999999994</v>
      </c>
      <c r="J61" s="586">
        <v>20.7</v>
      </c>
      <c r="K61" s="584">
        <f t="shared" si="15"/>
        <v>11.100000000000009</v>
      </c>
      <c r="L61" s="584">
        <f t="shared" si="14"/>
        <v>56.399999999999991</v>
      </c>
      <c r="M61" s="587">
        <f t="shared" si="16"/>
        <v>0.19680851063829805</v>
      </c>
      <c r="N61" s="587"/>
    </row>
    <row r="62" spans="1:14">
      <c r="B62" s="583"/>
      <c r="F62" s="585" t="s">
        <v>605</v>
      </c>
      <c r="G62" s="584" t="s">
        <v>60</v>
      </c>
      <c r="H62" s="584">
        <v>88</v>
      </c>
      <c r="I62" s="584">
        <v>79.599999999999994</v>
      </c>
      <c r="J62" s="586">
        <v>25.1</v>
      </c>
      <c r="K62" s="584">
        <f t="shared" si="15"/>
        <v>8.4000000000000057</v>
      </c>
      <c r="L62" s="584">
        <f t="shared" si="14"/>
        <v>54.499999999999993</v>
      </c>
      <c r="M62" s="587">
        <f t="shared" si="16"/>
        <v>0.1541284403669726</v>
      </c>
      <c r="N62" s="587"/>
    </row>
    <row r="63" spans="1:14">
      <c r="B63" s="583"/>
      <c r="F63" s="585" t="s">
        <v>827</v>
      </c>
      <c r="G63" s="584" t="s">
        <v>61</v>
      </c>
      <c r="H63" s="584">
        <v>88.9</v>
      </c>
      <c r="I63" s="584">
        <v>80.099999999999994</v>
      </c>
      <c r="J63" s="586">
        <v>22.1</v>
      </c>
      <c r="K63" s="584">
        <f t="shared" si="15"/>
        <v>8.8000000000000114</v>
      </c>
      <c r="L63" s="584">
        <f t="shared" si="14"/>
        <v>57.999999999999993</v>
      </c>
      <c r="M63" s="587">
        <f t="shared" si="16"/>
        <v>0.1517241379310347</v>
      </c>
      <c r="N63" s="587"/>
    </row>
    <row r="64" spans="1:14">
      <c r="B64" s="583"/>
      <c r="F64" s="585" t="s">
        <v>828</v>
      </c>
      <c r="G64" s="584" t="s">
        <v>62</v>
      </c>
      <c r="H64" s="586">
        <v>98.7</v>
      </c>
      <c r="I64" s="586">
        <v>88.6</v>
      </c>
      <c r="J64" s="586">
        <v>26</v>
      </c>
      <c r="K64" s="584">
        <f>H64-I64</f>
        <v>10.100000000000009</v>
      </c>
      <c r="L64" s="584">
        <f t="shared" si="14"/>
        <v>62.599999999999994</v>
      </c>
      <c r="M64" s="587">
        <f t="shared" si="16"/>
        <v>0.16134185303514392</v>
      </c>
      <c r="N64" s="587"/>
    </row>
    <row r="65" spans="1:14">
      <c r="A65" s="582"/>
      <c r="B65" s="583"/>
      <c r="F65" s="585" t="s">
        <v>829</v>
      </c>
      <c r="G65" s="584" t="s">
        <v>63</v>
      </c>
      <c r="H65" s="584">
        <v>88.9</v>
      </c>
      <c r="I65" s="584">
        <v>78.400000000000006</v>
      </c>
      <c r="J65" s="586">
        <v>22.6</v>
      </c>
      <c r="K65" s="584">
        <f t="shared" ref="K65:K67" si="17">H65-I65</f>
        <v>10.5</v>
      </c>
      <c r="L65" s="584">
        <f t="shared" si="14"/>
        <v>55.800000000000004</v>
      </c>
      <c r="M65" s="587">
        <f t="shared" si="16"/>
        <v>0.18817204301075269</v>
      </c>
      <c r="N65" s="587"/>
    </row>
    <row r="66" spans="1:14">
      <c r="B66" s="583"/>
      <c r="F66" s="585" t="s">
        <v>600</v>
      </c>
      <c r="G66" s="585" t="s">
        <v>64</v>
      </c>
      <c r="H66" s="584">
        <v>117.8</v>
      </c>
      <c r="I66" s="584">
        <v>102</v>
      </c>
      <c r="J66" s="586">
        <v>25.9</v>
      </c>
      <c r="K66" s="584">
        <f t="shared" si="17"/>
        <v>15.799999999999997</v>
      </c>
      <c r="L66" s="584">
        <f t="shared" si="14"/>
        <v>76.099999999999994</v>
      </c>
      <c r="M66" s="587">
        <f t="shared" si="16"/>
        <v>0.20762155059132717</v>
      </c>
      <c r="N66" s="587"/>
    </row>
    <row r="67" spans="1:14">
      <c r="B67" s="583"/>
      <c r="F67" s="585" t="s">
        <v>830</v>
      </c>
      <c r="G67" s="584" t="s">
        <v>65</v>
      </c>
      <c r="H67" s="584">
        <v>87.9</v>
      </c>
      <c r="I67" s="584">
        <v>75.2</v>
      </c>
      <c r="J67" s="586">
        <v>21.8</v>
      </c>
      <c r="K67" s="584">
        <f t="shared" si="17"/>
        <v>12.700000000000003</v>
      </c>
      <c r="L67" s="584">
        <f t="shared" si="14"/>
        <v>53.400000000000006</v>
      </c>
      <c r="M67" s="587">
        <f t="shared" si="16"/>
        <v>0.23782771535580527</v>
      </c>
      <c r="N67" s="587"/>
    </row>
    <row r="68" spans="1:14">
      <c r="B68" s="583"/>
      <c r="F68" s="585" t="s">
        <v>831</v>
      </c>
      <c r="G68" s="584" t="s">
        <v>66</v>
      </c>
      <c r="H68" s="584">
        <v>100</v>
      </c>
      <c r="I68" s="584">
        <v>83.1</v>
      </c>
      <c r="J68" s="586">
        <v>26</v>
      </c>
      <c r="K68" s="584">
        <f>H68-I68</f>
        <v>16.900000000000006</v>
      </c>
      <c r="L68" s="584">
        <f t="shared" si="14"/>
        <v>57.099999999999994</v>
      </c>
      <c r="M68" s="587">
        <f t="shared" si="16"/>
        <v>0.29597197898423833</v>
      </c>
      <c r="N68" s="587"/>
    </row>
    <row r="69" spans="1:14">
      <c r="B69" s="583"/>
      <c r="F69" s="585" t="s">
        <v>606</v>
      </c>
      <c r="G69" s="584" t="s">
        <v>67</v>
      </c>
      <c r="H69" s="586">
        <v>115.2</v>
      </c>
      <c r="I69" s="586">
        <v>94.5</v>
      </c>
      <c r="J69" s="586">
        <v>23.1</v>
      </c>
      <c r="K69" s="584">
        <f>H69-I69</f>
        <v>20.700000000000003</v>
      </c>
      <c r="L69" s="584">
        <f t="shared" si="14"/>
        <v>71.400000000000006</v>
      </c>
      <c r="M69" s="587">
        <f>K69/L69</f>
        <v>0.28991596638655465</v>
      </c>
      <c r="N69" s="587"/>
    </row>
    <row r="70" spans="1:14">
      <c r="A70" s="582" t="s">
        <v>806</v>
      </c>
      <c r="B70" s="583">
        <v>7</v>
      </c>
      <c r="C70" s="584">
        <v>3</v>
      </c>
      <c r="D70" s="584">
        <v>1</v>
      </c>
      <c r="F70" s="585" t="s">
        <v>832</v>
      </c>
      <c r="G70" s="584" t="s">
        <v>59</v>
      </c>
      <c r="H70" s="584">
        <v>83.4</v>
      </c>
      <c r="I70" s="584">
        <v>75.8</v>
      </c>
      <c r="J70" s="586">
        <v>23.2</v>
      </c>
      <c r="K70" s="584">
        <f t="shared" ref="K70:L85" si="18">H70-I70</f>
        <v>7.6000000000000085</v>
      </c>
      <c r="L70" s="584">
        <f t="shared" si="14"/>
        <v>52.599999999999994</v>
      </c>
      <c r="M70" s="587">
        <f t="shared" ref="M70:M78" si="19">K70/L70</f>
        <v>0.14448669201520931</v>
      </c>
      <c r="N70" s="587"/>
    </row>
    <row r="71" spans="1:14">
      <c r="B71" s="583"/>
      <c r="F71" s="585" t="s">
        <v>305</v>
      </c>
      <c r="G71" s="585" t="s">
        <v>262</v>
      </c>
      <c r="H71" s="584">
        <v>98.6</v>
      </c>
      <c r="I71" s="584">
        <v>87.2</v>
      </c>
      <c r="J71" s="586">
        <v>20</v>
      </c>
      <c r="K71" s="584">
        <f t="shared" si="18"/>
        <v>11.399999999999991</v>
      </c>
      <c r="L71" s="584">
        <f t="shared" si="18"/>
        <v>67.2</v>
      </c>
      <c r="M71" s="587">
        <f t="shared" si="19"/>
        <v>0.16964285714285701</v>
      </c>
      <c r="N71" s="587"/>
    </row>
    <row r="72" spans="1:14">
      <c r="B72" s="583"/>
      <c r="F72" s="585" t="s">
        <v>310</v>
      </c>
      <c r="G72" s="584" t="s">
        <v>60</v>
      </c>
      <c r="H72" s="584">
        <v>95.7</v>
      </c>
      <c r="I72" s="584">
        <v>85.6</v>
      </c>
      <c r="J72" s="586">
        <v>22.6</v>
      </c>
      <c r="K72" s="584">
        <f t="shared" si="18"/>
        <v>10.100000000000009</v>
      </c>
      <c r="L72" s="584">
        <f t="shared" si="18"/>
        <v>62.999999999999993</v>
      </c>
      <c r="M72" s="587">
        <f t="shared" si="19"/>
        <v>0.16031746031746047</v>
      </c>
      <c r="N72" s="587"/>
    </row>
    <row r="73" spans="1:14">
      <c r="B73" s="583"/>
      <c r="F73" s="585" t="s">
        <v>322</v>
      </c>
      <c r="G73" s="584" t="s">
        <v>61</v>
      </c>
      <c r="H73" s="584">
        <v>102.4</v>
      </c>
      <c r="I73" s="584">
        <v>91.5</v>
      </c>
      <c r="J73" s="586">
        <v>22.7</v>
      </c>
      <c r="K73" s="584">
        <f t="shared" si="18"/>
        <v>10.900000000000006</v>
      </c>
      <c r="L73" s="584">
        <f t="shared" si="18"/>
        <v>68.8</v>
      </c>
      <c r="M73" s="587">
        <f t="shared" si="19"/>
        <v>0.15843023255813962</v>
      </c>
      <c r="N73" s="587"/>
    </row>
    <row r="74" spans="1:14">
      <c r="B74" s="583"/>
      <c r="F74" s="585" t="s">
        <v>336</v>
      </c>
      <c r="G74" s="584" t="s">
        <v>62</v>
      </c>
      <c r="H74" s="586">
        <v>102.9</v>
      </c>
      <c r="I74" s="586">
        <v>92</v>
      </c>
      <c r="J74" s="586">
        <v>22.6</v>
      </c>
      <c r="K74" s="584">
        <f>H74-I74</f>
        <v>10.900000000000006</v>
      </c>
      <c r="L74" s="584">
        <f t="shared" si="18"/>
        <v>69.400000000000006</v>
      </c>
      <c r="M74" s="587">
        <f t="shared" si="19"/>
        <v>0.15706051873198854</v>
      </c>
      <c r="N74" s="587"/>
    </row>
    <row r="75" spans="1:14">
      <c r="A75" s="582"/>
      <c r="B75" s="583"/>
      <c r="F75" s="585" t="s">
        <v>329</v>
      </c>
      <c r="G75" s="584" t="s">
        <v>63</v>
      </c>
      <c r="H75" s="584">
        <v>101.3</v>
      </c>
      <c r="I75" s="584">
        <v>88.6</v>
      </c>
      <c r="J75" s="586">
        <v>22.3</v>
      </c>
      <c r="K75" s="584">
        <f t="shared" ref="K75:K78" si="20">H75-I75</f>
        <v>12.700000000000003</v>
      </c>
      <c r="L75" s="584">
        <f t="shared" si="18"/>
        <v>66.3</v>
      </c>
      <c r="M75" s="587">
        <f t="shared" si="19"/>
        <v>0.19155354449472101</v>
      </c>
      <c r="N75" s="587"/>
    </row>
    <row r="76" spans="1:14">
      <c r="B76" s="583"/>
      <c r="F76" s="585" t="s">
        <v>314</v>
      </c>
      <c r="G76" s="585" t="s">
        <v>64</v>
      </c>
      <c r="H76" s="584">
        <v>84.2</v>
      </c>
      <c r="I76" s="584">
        <v>79.400000000000006</v>
      </c>
      <c r="J76" s="586">
        <v>22.6</v>
      </c>
      <c r="K76" s="584">
        <f t="shared" si="20"/>
        <v>4.7999999999999972</v>
      </c>
      <c r="L76" s="584">
        <f t="shared" si="18"/>
        <v>56.800000000000004</v>
      </c>
      <c r="M76" s="587">
        <f t="shared" si="19"/>
        <v>8.450704225352107E-2</v>
      </c>
      <c r="N76" s="587"/>
    </row>
    <row r="77" spans="1:14">
      <c r="B77" s="583"/>
      <c r="F77" s="585" t="s">
        <v>283</v>
      </c>
      <c r="G77" s="584" t="s">
        <v>65</v>
      </c>
      <c r="H77" s="584">
        <v>89.6</v>
      </c>
      <c r="I77" s="584">
        <v>81.900000000000006</v>
      </c>
      <c r="J77" s="586">
        <v>22</v>
      </c>
      <c r="K77" s="584">
        <f t="shared" si="20"/>
        <v>7.6999999999999886</v>
      </c>
      <c r="L77" s="584">
        <f t="shared" si="18"/>
        <v>59.900000000000006</v>
      </c>
      <c r="M77" s="587">
        <f t="shared" si="19"/>
        <v>0.12854757929883118</v>
      </c>
      <c r="N77" s="587"/>
    </row>
    <row r="78" spans="1:14">
      <c r="B78" s="583"/>
      <c r="F78" s="585" t="s">
        <v>302</v>
      </c>
      <c r="G78" s="584" t="s">
        <v>66</v>
      </c>
      <c r="H78" s="584">
        <v>107.2</v>
      </c>
      <c r="I78" s="584">
        <v>90.3</v>
      </c>
      <c r="J78" s="586">
        <v>21.9</v>
      </c>
      <c r="K78" s="584">
        <f t="shared" si="20"/>
        <v>16.900000000000006</v>
      </c>
      <c r="L78" s="584">
        <f t="shared" si="18"/>
        <v>68.400000000000006</v>
      </c>
      <c r="M78" s="587">
        <f t="shared" si="19"/>
        <v>0.24707602339181292</v>
      </c>
      <c r="N78" s="587"/>
    </row>
    <row r="79" spans="1:14">
      <c r="B79" s="583"/>
      <c r="F79" s="585" t="s">
        <v>316</v>
      </c>
      <c r="G79" s="584" t="s">
        <v>67</v>
      </c>
      <c r="H79" s="586">
        <v>105</v>
      </c>
      <c r="I79" s="586">
        <v>86.5</v>
      </c>
      <c r="J79" s="586">
        <v>22.2</v>
      </c>
      <c r="K79" s="584">
        <f>H79-I79</f>
        <v>18.5</v>
      </c>
      <c r="L79" s="584">
        <f t="shared" si="18"/>
        <v>64.3</v>
      </c>
      <c r="M79" s="587">
        <f>K79/L79</f>
        <v>0.28771384136858474</v>
      </c>
      <c r="N79" s="587"/>
    </row>
    <row r="80" spans="1:14">
      <c r="A80" s="582" t="s">
        <v>806</v>
      </c>
      <c r="B80" s="583">
        <v>8</v>
      </c>
      <c r="C80" s="584">
        <v>3</v>
      </c>
      <c r="D80" s="584">
        <v>1</v>
      </c>
      <c r="F80" s="585" t="s">
        <v>622</v>
      </c>
      <c r="G80" s="584" t="s">
        <v>59</v>
      </c>
      <c r="H80" s="584">
        <v>94.1</v>
      </c>
      <c r="I80" s="584">
        <v>84.5</v>
      </c>
      <c r="J80" s="586">
        <v>24.3</v>
      </c>
      <c r="K80" s="584">
        <f t="shared" ref="K80:K83" si="21">H80-I80</f>
        <v>9.5999999999999943</v>
      </c>
      <c r="L80" s="584">
        <f t="shared" si="18"/>
        <v>60.2</v>
      </c>
      <c r="M80" s="587">
        <f t="shared" ref="M80:M88" si="22">K80/L80</f>
        <v>0.15946843853820589</v>
      </c>
      <c r="N80" s="587"/>
    </row>
    <row r="81" spans="1:14">
      <c r="B81" s="583"/>
      <c r="F81" s="585" t="s">
        <v>833</v>
      </c>
      <c r="G81" s="585" t="s">
        <v>262</v>
      </c>
      <c r="H81" s="584">
        <v>108.5</v>
      </c>
      <c r="I81" s="584">
        <v>97.7</v>
      </c>
      <c r="J81" s="586">
        <v>25.3</v>
      </c>
      <c r="K81" s="584">
        <f t="shared" si="21"/>
        <v>10.799999999999997</v>
      </c>
      <c r="L81" s="584">
        <f t="shared" si="18"/>
        <v>72.400000000000006</v>
      </c>
      <c r="M81" s="587">
        <f t="shared" si="22"/>
        <v>0.149171270718232</v>
      </c>
      <c r="N81" s="587"/>
    </row>
    <row r="82" spans="1:14">
      <c r="B82" s="583"/>
      <c r="F82" s="585" t="s">
        <v>616</v>
      </c>
      <c r="G82" s="584" t="s">
        <v>60</v>
      </c>
      <c r="H82" s="584">
        <v>103.6</v>
      </c>
      <c r="I82" s="584">
        <v>91.8</v>
      </c>
      <c r="J82" s="586">
        <v>23.7</v>
      </c>
      <c r="K82" s="584">
        <f t="shared" si="21"/>
        <v>11.799999999999997</v>
      </c>
      <c r="L82" s="584">
        <f t="shared" si="18"/>
        <v>68.099999999999994</v>
      </c>
      <c r="M82" s="587">
        <f t="shared" si="22"/>
        <v>0.17327459618208516</v>
      </c>
      <c r="N82" s="587"/>
    </row>
    <row r="83" spans="1:14">
      <c r="B83" s="583"/>
      <c r="F83" s="585" t="s">
        <v>269</v>
      </c>
      <c r="G83" s="584" t="s">
        <v>61</v>
      </c>
      <c r="H83" s="584">
        <v>100.5</v>
      </c>
      <c r="I83" s="584">
        <v>87.2</v>
      </c>
      <c r="J83" s="586">
        <v>20.7</v>
      </c>
      <c r="K83" s="584">
        <f t="shared" si="21"/>
        <v>13.299999999999997</v>
      </c>
      <c r="L83" s="584">
        <f t="shared" si="18"/>
        <v>66.5</v>
      </c>
      <c r="M83" s="587">
        <f t="shared" si="22"/>
        <v>0.19999999999999996</v>
      </c>
      <c r="N83" s="587"/>
    </row>
    <row r="84" spans="1:14">
      <c r="B84" s="583"/>
      <c r="F84" s="585" t="s">
        <v>331</v>
      </c>
      <c r="G84" s="584" t="s">
        <v>62</v>
      </c>
      <c r="H84" s="586">
        <v>85.6</v>
      </c>
      <c r="I84" s="586">
        <v>75.599999999999994</v>
      </c>
      <c r="J84" s="586">
        <v>24.2</v>
      </c>
      <c r="K84" s="584">
        <f>H84-I84</f>
        <v>10</v>
      </c>
      <c r="L84" s="584">
        <f t="shared" si="18"/>
        <v>51.399999999999991</v>
      </c>
      <c r="M84" s="587">
        <f t="shared" si="22"/>
        <v>0.19455252918287941</v>
      </c>
      <c r="N84" s="587"/>
    </row>
    <row r="85" spans="1:14">
      <c r="A85" s="582"/>
      <c r="B85" s="583"/>
      <c r="F85" s="585" t="s">
        <v>339</v>
      </c>
      <c r="G85" s="584" t="s">
        <v>63</v>
      </c>
      <c r="H85" s="584">
        <v>113.8</v>
      </c>
      <c r="I85" s="584">
        <v>95.1</v>
      </c>
      <c r="J85" s="586">
        <v>20.9</v>
      </c>
      <c r="K85" s="584">
        <f t="shared" ref="K85:L100" si="23">H85-I85</f>
        <v>18.700000000000003</v>
      </c>
      <c r="L85" s="584">
        <f t="shared" si="18"/>
        <v>74.199999999999989</v>
      </c>
      <c r="M85" s="587">
        <f t="shared" si="22"/>
        <v>0.25202156334231812</v>
      </c>
      <c r="N85" s="587"/>
    </row>
    <row r="86" spans="1:14">
      <c r="B86" s="583"/>
      <c r="F86" s="585" t="s">
        <v>315</v>
      </c>
      <c r="G86" s="585" t="s">
        <v>64</v>
      </c>
      <c r="H86" s="584">
        <v>103.5</v>
      </c>
      <c r="I86" s="584">
        <v>88.7</v>
      </c>
      <c r="J86" s="586">
        <v>19.899999999999999</v>
      </c>
      <c r="K86" s="584">
        <f t="shared" si="23"/>
        <v>14.799999999999997</v>
      </c>
      <c r="L86" s="584">
        <f t="shared" si="23"/>
        <v>68.800000000000011</v>
      </c>
      <c r="M86" s="587">
        <f t="shared" si="22"/>
        <v>0.21511627906976735</v>
      </c>
      <c r="N86" s="587"/>
    </row>
    <row r="87" spans="1:14">
      <c r="B87" s="583"/>
      <c r="F87" s="585" t="s">
        <v>286</v>
      </c>
      <c r="G87" s="584" t="s">
        <v>65</v>
      </c>
      <c r="H87" s="584">
        <v>110.4</v>
      </c>
      <c r="I87" s="584">
        <v>94.7</v>
      </c>
      <c r="J87" s="586">
        <v>22.5</v>
      </c>
      <c r="K87" s="584">
        <f t="shared" si="23"/>
        <v>15.700000000000003</v>
      </c>
      <c r="L87" s="584">
        <f t="shared" si="23"/>
        <v>72.2</v>
      </c>
      <c r="M87" s="587">
        <f t="shared" si="22"/>
        <v>0.2174515235457064</v>
      </c>
      <c r="N87" s="587"/>
    </row>
    <row r="88" spans="1:14">
      <c r="B88" s="583"/>
      <c r="F88" s="585" t="s">
        <v>366</v>
      </c>
      <c r="G88" s="584" t="s">
        <v>66</v>
      </c>
      <c r="H88" s="584">
        <v>106.8</v>
      </c>
      <c r="I88" s="584">
        <v>91.5</v>
      </c>
      <c r="J88" s="586">
        <v>30.2</v>
      </c>
      <c r="K88" s="584">
        <f t="shared" si="23"/>
        <v>15.299999999999997</v>
      </c>
      <c r="L88" s="584">
        <f t="shared" si="23"/>
        <v>61.3</v>
      </c>
      <c r="M88" s="587">
        <f t="shared" si="22"/>
        <v>0.24959216965742248</v>
      </c>
      <c r="N88" s="587"/>
    </row>
    <row r="89" spans="1:14">
      <c r="B89" s="583"/>
      <c r="F89" s="585" t="s">
        <v>311</v>
      </c>
      <c r="G89" s="584" t="s">
        <v>67</v>
      </c>
      <c r="H89" s="586">
        <v>112.7</v>
      </c>
      <c r="I89" s="586">
        <v>92.6</v>
      </c>
      <c r="J89" s="586">
        <v>21.7</v>
      </c>
      <c r="K89" s="584">
        <f>H89-I89</f>
        <v>20.100000000000009</v>
      </c>
      <c r="L89" s="584">
        <f t="shared" si="23"/>
        <v>70.899999999999991</v>
      </c>
      <c r="M89" s="587">
        <f>K89/L89</f>
        <v>0.28349788434414686</v>
      </c>
      <c r="N89" s="587"/>
    </row>
    <row r="90" spans="1:14">
      <c r="A90" s="582" t="s">
        <v>806</v>
      </c>
      <c r="B90" s="583">
        <v>9</v>
      </c>
      <c r="C90" s="584">
        <v>3</v>
      </c>
      <c r="D90" s="584">
        <v>1</v>
      </c>
      <c r="F90" s="585" t="s">
        <v>299</v>
      </c>
      <c r="G90" s="584" t="s">
        <v>59</v>
      </c>
      <c r="H90" s="584">
        <v>86.2</v>
      </c>
      <c r="I90" s="584">
        <v>77.599999999999994</v>
      </c>
      <c r="J90" s="586">
        <v>22.8</v>
      </c>
      <c r="K90" s="584">
        <f>H90-I90</f>
        <v>8.6000000000000085</v>
      </c>
      <c r="L90" s="584">
        <f>I90-J90</f>
        <v>54.8</v>
      </c>
      <c r="M90" s="587">
        <f>K90/L90</f>
        <v>0.15693430656934323</v>
      </c>
      <c r="N90" s="587"/>
    </row>
    <row r="91" spans="1:14">
      <c r="B91" s="583"/>
      <c r="F91" s="585" t="s">
        <v>834</v>
      </c>
      <c r="G91" s="585" t="s">
        <v>262</v>
      </c>
      <c r="H91" s="584">
        <v>84.9</v>
      </c>
      <c r="I91" s="584">
        <v>75.900000000000006</v>
      </c>
      <c r="J91" s="586">
        <v>22.6</v>
      </c>
      <c r="K91" s="584">
        <f t="shared" ref="K91:K93" si="24">H91-I91</f>
        <v>9</v>
      </c>
      <c r="L91" s="584">
        <f>I91-J91</f>
        <v>53.300000000000004</v>
      </c>
      <c r="M91" s="587">
        <f t="shared" ref="M91:M98" si="25">K91/L91</f>
        <v>0.16885553470919323</v>
      </c>
      <c r="N91" s="587"/>
    </row>
    <row r="92" spans="1:14">
      <c r="B92" s="583"/>
      <c r="F92" s="585" t="s">
        <v>835</v>
      </c>
      <c r="G92" s="584" t="s">
        <v>60</v>
      </c>
      <c r="H92" s="584">
        <v>94.9</v>
      </c>
      <c r="I92" s="584">
        <v>85.2</v>
      </c>
      <c r="J92" s="586">
        <v>25</v>
      </c>
      <c r="K92" s="584">
        <f t="shared" si="24"/>
        <v>9.7000000000000028</v>
      </c>
      <c r="L92" s="584">
        <f t="shared" si="23"/>
        <v>60.2</v>
      </c>
      <c r="M92" s="587">
        <f t="shared" si="25"/>
        <v>0.16112956810631232</v>
      </c>
      <c r="N92" s="587"/>
    </row>
    <row r="93" spans="1:14">
      <c r="B93" s="583"/>
      <c r="F93" s="585" t="s">
        <v>758</v>
      </c>
      <c r="G93" s="584" t="s">
        <v>61</v>
      </c>
      <c r="H93" s="584">
        <v>106.2</v>
      </c>
      <c r="I93" s="584">
        <v>92.7</v>
      </c>
      <c r="J93" s="586">
        <v>23.7</v>
      </c>
      <c r="K93" s="584">
        <f t="shared" si="24"/>
        <v>13.5</v>
      </c>
      <c r="L93" s="584">
        <f t="shared" si="23"/>
        <v>69</v>
      </c>
      <c r="M93" s="587">
        <f t="shared" si="25"/>
        <v>0.19565217391304349</v>
      </c>
      <c r="N93" s="587"/>
    </row>
    <row r="94" spans="1:14">
      <c r="B94" s="583"/>
      <c r="F94" s="585" t="s">
        <v>337</v>
      </c>
      <c r="G94" s="584" t="s">
        <v>62</v>
      </c>
      <c r="H94" s="586">
        <v>103.8</v>
      </c>
      <c r="I94" s="586">
        <v>90.1</v>
      </c>
      <c r="J94" s="586">
        <v>24.7</v>
      </c>
      <c r="K94" s="584">
        <f>H94-I94</f>
        <v>13.700000000000003</v>
      </c>
      <c r="L94" s="584">
        <f t="shared" si="23"/>
        <v>65.399999999999991</v>
      </c>
      <c r="M94" s="587">
        <f t="shared" si="25"/>
        <v>0.20948012232415908</v>
      </c>
      <c r="N94" s="587"/>
    </row>
    <row r="95" spans="1:14">
      <c r="A95" s="582"/>
      <c r="B95" s="583"/>
      <c r="F95" s="585" t="s">
        <v>536</v>
      </c>
      <c r="G95" s="584" t="s">
        <v>63</v>
      </c>
      <c r="H95" s="584">
        <v>89.1</v>
      </c>
      <c r="I95" s="584">
        <v>80</v>
      </c>
      <c r="J95" s="586">
        <v>22.1</v>
      </c>
      <c r="K95" s="584">
        <f t="shared" ref="K95:K98" si="26">H95-I95</f>
        <v>9.0999999999999943</v>
      </c>
      <c r="L95" s="584">
        <f t="shared" si="23"/>
        <v>57.9</v>
      </c>
      <c r="M95" s="587">
        <f t="shared" si="25"/>
        <v>0.15716753022452495</v>
      </c>
      <c r="N95" s="587"/>
    </row>
    <row r="96" spans="1:14">
      <c r="B96" s="583"/>
      <c r="F96" s="585" t="s">
        <v>334</v>
      </c>
      <c r="G96" s="585" t="s">
        <v>64</v>
      </c>
      <c r="H96" s="584">
        <v>86.9</v>
      </c>
      <c r="I96" s="584">
        <v>79</v>
      </c>
      <c r="J96" s="586">
        <v>21.8</v>
      </c>
      <c r="K96" s="584">
        <f t="shared" si="26"/>
        <v>7.9000000000000057</v>
      </c>
      <c r="L96" s="584">
        <f t="shared" si="23"/>
        <v>57.2</v>
      </c>
      <c r="M96" s="587">
        <f t="shared" si="25"/>
        <v>0.13811188811188821</v>
      </c>
      <c r="N96" s="587"/>
    </row>
    <row r="97" spans="1:14">
      <c r="B97" s="583"/>
      <c r="F97" s="585" t="s">
        <v>287</v>
      </c>
      <c r="G97" s="584" t="s">
        <v>65</v>
      </c>
      <c r="H97" s="584">
        <v>94.1</v>
      </c>
      <c r="I97" s="584">
        <v>84.8</v>
      </c>
      <c r="J97" s="586">
        <v>20.399999999999999</v>
      </c>
      <c r="K97" s="584">
        <f t="shared" si="26"/>
        <v>9.2999999999999972</v>
      </c>
      <c r="L97" s="584">
        <f t="shared" si="23"/>
        <v>64.400000000000006</v>
      </c>
      <c r="M97" s="587">
        <f t="shared" si="25"/>
        <v>0.1444099378881987</v>
      </c>
      <c r="N97" s="587"/>
    </row>
    <row r="98" spans="1:14">
      <c r="B98" s="583"/>
      <c r="F98" s="585" t="s">
        <v>836</v>
      </c>
      <c r="G98" s="584" t="s">
        <v>66</v>
      </c>
      <c r="H98" s="584">
        <v>97.4</v>
      </c>
      <c r="I98" s="584">
        <v>90</v>
      </c>
      <c r="J98" s="586">
        <v>27.3</v>
      </c>
      <c r="K98" s="584">
        <f t="shared" si="26"/>
        <v>7.4000000000000057</v>
      </c>
      <c r="L98" s="584">
        <f t="shared" si="23"/>
        <v>62.7</v>
      </c>
      <c r="M98" s="587">
        <f t="shared" si="25"/>
        <v>0.11802232854864442</v>
      </c>
      <c r="N98" s="587"/>
    </row>
    <row r="99" spans="1:14">
      <c r="B99" s="583"/>
      <c r="F99" s="585" t="s">
        <v>361</v>
      </c>
      <c r="G99" s="584" t="s">
        <v>67</v>
      </c>
      <c r="H99" s="586">
        <v>87.1</v>
      </c>
      <c r="I99" s="586">
        <v>81</v>
      </c>
      <c r="J99" s="586">
        <v>22.2</v>
      </c>
      <c r="K99" s="584">
        <f>H99-I99</f>
        <v>6.0999999999999943</v>
      </c>
      <c r="L99" s="584">
        <f t="shared" si="23"/>
        <v>58.8</v>
      </c>
      <c r="M99" s="587">
        <f>K99/L99</f>
        <v>0.10374149659863936</v>
      </c>
      <c r="N99" s="587"/>
    </row>
    <row r="100" spans="1:14">
      <c r="A100" s="582" t="s">
        <v>806</v>
      </c>
      <c r="B100" s="583">
        <v>10</v>
      </c>
      <c r="C100" s="584">
        <v>3</v>
      </c>
      <c r="D100" s="584">
        <v>1</v>
      </c>
      <c r="F100" s="585" t="s">
        <v>324</v>
      </c>
      <c r="G100" s="584" t="s">
        <v>59</v>
      </c>
      <c r="H100" s="584">
        <v>71.3</v>
      </c>
      <c r="I100" s="584">
        <v>65.7</v>
      </c>
      <c r="J100" s="586">
        <v>21.9</v>
      </c>
      <c r="K100" s="584">
        <f t="shared" ref="K100:L115" si="27">H100-I100</f>
        <v>5.5999999999999943</v>
      </c>
      <c r="L100" s="584">
        <f t="shared" si="23"/>
        <v>43.800000000000004</v>
      </c>
      <c r="M100" s="587">
        <f t="shared" ref="M100:M108" si="28">K100/L100</f>
        <v>0.12785388127853867</v>
      </c>
      <c r="N100" s="587"/>
    </row>
    <row r="101" spans="1:14">
      <c r="B101" s="583"/>
      <c r="F101" s="585" t="s">
        <v>837</v>
      </c>
      <c r="G101" s="585" t="s">
        <v>262</v>
      </c>
      <c r="H101" s="584">
        <v>87.7</v>
      </c>
      <c r="I101" s="584">
        <v>79.8</v>
      </c>
      <c r="J101" s="586">
        <v>22.2</v>
      </c>
      <c r="K101" s="584">
        <f t="shared" si="27"/>
        <v>7.9000000000000057</v>
      </c>
      <c r="L101" s="584">
        <f t="shared" si="27"/>
        <v>57.599999999999994</v>
      </c>
      <c r="M101" s="587">
        <f t="shared" si="28"/>
        <v>0.1371527777777779</v>
      </c>
      <c r="N101" s="587"/>
    </row>
    <row r="102" spans="1:14">
      <c r="B102" s="583" t="s">
        <v>358</v>
      </c>
      <c r="F102" s="585" t="s">
        <v>298</v>
      </c>
      <c r="G102" s="584" t="s">
        <v>60</v>
      </c>
      <c r="H102" s="584">
        <v>80</v>
      </c>
      <c r="I102" s="584">
        <v>72.2</v>
      </c>
      <c r="J102" s="586">
        <v>23.6</v>
      </c>
      <c r="K102" s="584">
        <f t="shared" si="27"/>
        <v>7.7999999999999972</v>
      </c>
      <c r="L102" s="584">
        <f t="shared" si="27"/>
        <v>48.6</v>
      </c>
      <c r="M102" s="587">
        <f t="shared" si="28"/>
        <v>0.16049382716049376</v>
      </c>
      <c r="N102" s="587"/>
    </row>
    <row r="103" spans="1:14">
      <c r="B103" s="583"/>
      <c r="F103" s="585" t="s">
        <v>838</v>
      </c>
      <c r="G103" s="584" t="s">
        <v>61</v>
      </c>
      <c r="H103" s="584">
        <v>86.7</v>
      </c>
      <c r="I103" s="584">
        <v>79.2</v>
      </c>
      <c r="J103" s="586">
        <v>29.2</v>
      </c>
      <c r="K103" s="584">
        <f t="shared" si="27"/>
        <v>7.5</v>
      </c>
      <c r="L103" s="584">
        <f t="shared" si="27"/>
        <v>50</v>
      </c>
      <c r="M103" s="587">
        <f t="shared" si="28"/>
        <v>0.15</v>
      </c>
      <c r="N103" s="587"/>
    </row>
    <row r="104" spans="1:14">
      <c r="B104" s="583"/>
      <c r="F104" s="585" t="s">
        <v>333</v>
      </c>
      <c r="G104" s="584" t="s">
        <v>62</v>
      </c>
      <c r="H104" s="586">
        <v>82.3</v>
      </c>
      <c r="I104" s="586">
        <v>77.7</v>
      </c>
      <c r="J104" s="586">
        <v>21.6</v>
      </c>
      <c r="K104" s="584">
        <f>H104-I104</f>
        <v>4.5999999999999943</v>
      </c>
      <c r="L104" s="584">
        <f t="shared" si="27"/>
        <v>56.1</v>
      </c>
      <c r="M104" s="587">
        <f t="shared" si="28"/>
        <v>8.1996434937611301E-2</v>
      </c>
      <c r="N104" s="587"/>
    </row>
    <row r="105" spans="1:14">
      <c r="A105" s="582"/>
      <c r="B105" s="583"/>
      <c r="F105" s="585" t="s">
        <v>323</v>
      </c>
      <c r="G105" s="584" t="s">
        <v>63</v>
      </c>
      <c r="H105" s="584">
        <v>81.400000000000006</v>
      </c>
      <c r="I105" s="584">
        <v>76.400000000000006</v>
      </c>
      <c r="J105" s="586">
        <v>20.100000000000001</v>
      </c>
      <c r="K105" s="584">
        <f t="shared" ref="K105:K108" si="29">H105-I105</f>
        <v>5</v>
      </c>
      <c r="L105" s="584">
        <f t="shared" si="27"/>
        <v>56.300000000000004</v>
      </c>
      <c r="M105" s="587">
        <f t="shared" si="28"/>
        <v>8.8809946714031959E-2</v>
      </c>
      <c r="N105" s="587"/>
    </row>
    <row r="106" spans="1:14">
      <c r="B106" s="583"/>
      <c r="F106" s="585" t="s">
        <v>839</v>
      </c>
      <c r="G106" s="585" t="s">
        <v>64</v>
      </c>
      <c r="H106" s="584">
        <v>80.099999999999994</v>
      </c>
      <c r="I106" s="584">
        <v>75</v>
      </c>
      <c r="J106" s="586">
        <v>24.1</v>
      </c>
      <c r="K106" s="584">
        <f t="shared" si="29"/>
        <v>5.0999999999999943</v>
      </c>
      <c r="L106" s="584">
        <f t="shared" si="27"/>
        <v>50.9</v>
      </c>
      <c r="M106" s="587">
        <f t="shared" si="28"/>
        <v>0.10019646365422386</v>
      </c>
      <c r="N106" s="587"/>
    </row>
    <row r="107" spans="1:14">
      <c r="B107" s="583"/>
      <c r="F107" s="585" t="s">
        <v>312</v>
      </c>
      <c r="G107" s="584" t="s">
        <v>65</v>
      </c>
      <c r="H107" s="584">
        <v>103.5</v>
      </c>
      <c r="I107" s="584">
        <v>92.3</v>
      </c>
      <c r="J107" s="586">
        <v>24.5</v>
      </c>
      <c r="K107" s="584">
        <f t="shared" si="29"/>
        <v>11.200000000000003</v>
      </c>
      <c r="L107" s="584">
        <f t="shared" si="27"/>
        <v>67.8</v>
      </c>
      <c r="M107" s="587">
        <f t="shared" si="28"/>
        <v>0.1651917404129794</v>
      </c>
      <c r="N107" s="587"/>
    </row>
    <row r="108" spans="1:14">
      <c r="B108" s="583"/>
      <c r="F108" s="585" t="s">
        <v>294</v>
      </c>
      <c r="G108" s="584" t="s">
        <v>66</v>
      </c>
      <c r="H108" s="584">
        <v>86.2</v>
      </c>
      <c r="I108" s="584">
        <v>73.400000000000006</v>
      </c>
      <c r="J108" s="586">
        <v>22.2</v>
      </c>
      <c r="K108" s="584">
        <f t="shared" si="29"/>
        <v>12.799999999999997</v>
      </c>
      <c r="L108" s="584">
        <f t="shared" si="27"/>
        <v>51.2</v>
      </c>
      <c r="M108" s="587">
        <f t="shared" si="28"/>
        <v>0.24999999999999994</v>
      </c>
      <c r="N108" s="587"/>
    </row>
    <row r="109" spans="1:14">
      <c r="B109" s="583"/>
      <c r="F109" s="585" t="s">
        <v>256</v>
      </c>
      <c r="G109" s="584" t="s">
        <v>67</v>
      </c>
      <c r="H109" s="586">
        <v>101.1</v>
      </c>
      <c r="I109" s="586">
        <v>85.5</v>
      </c>
      <c r="J109" s="586">
        <v>23.5</v>
      </c>
      <c r="K109" s="584">
        <f>H109-I109</f>
        <v>15.599999999999994</v>
      </c>
      <c r="L109" s="584">
        <f t="shared" si="27"/>
        <v>62</v>
      </c>
      <c r="M109" s="587">
        <f>K109/L109</f>
        <v>0.25161290322580637</v>
      </c>
      <c r="N109" s="587"/>
    </row>
    <row r="110" spans="1:14">
      <c r="A110" s="582" t="s">
        <v>806</v>
      </c>
      <c r="B110" s="583">
        <v>11</v>
      </c>
      <c r="C110" s="584">
        <v>3</v>
      </c>
      <c r="D110" s="584">
        <v>1</v>
      </c>
      <c r="F110" s="585" t="s">
        <v>376</v>
      </c>
      <c r="G110" s="584" t="s">
        <v>59</v>
      </c>
      <c r="H110" s="584">
        <v>62.6</v>
      </c>
      <c r="I110" s="584">
        <v>58.1</v>
      </c>
      <c r="J110" s="586">
        <v>13.4</v>
      </c>
      <c r="K110" s="584">
        <f t="shared" ref="K110:K113" si="30">H110-I110</f>
        <v>4.5</v>
      </c>
      <c r="L110" s="584">
        <f t="shared" si="27"/>
        <v>44.7</v>
      </c>
      <c r="M110" s="587">
        <f t="shared" ref="M110:M118" si="31">K110/L110</f>
        <v>0.10067114093959731</v>
      </c>
      <c r="N110" s="587"/>
    </row>
    <row r="111" spans="1:14">
      <c r="B111" s="583"/>
      <c r="F111" s="585" t="s">
        <v>320</v>
      </c>
      <c r="G111" s="585" t="s">
        <v>262</v>
      </c>
      <c r="H111" s="584">
        <v>92.5</v>
      </c>
      <c r="I111" s="584">
        <v>85.5</v>
      </c>
      <c r="J111" s="586">
        <v>23</v>
      </c>
      <c r="K111" s="584">
        <f t="shared" si="30"/>
        <v>7</v>
      </c>
      <c r="L111" s="584">
        <f t="shared" si="27"/>
        <v>62.5</v>
      </c>
      <c r="M111" s="587">
        <f t="shared" si="31"/>
        <v>0.112</v>
      </c>
      <c r="N111" s="587"/>
    </row>
    <row r="112" spans="1:14">
      <c r="B112" s="583" t="s">
        <v>358</v>
      </c>
      <c r="F112" s="585" t="s">
        <v>291</v>
      </c>
      <c r="G112" s="584" t="s">
        <v>60</v>
      </c>
      <c r="H112" s="584">
        <v>70.8</v>
      </c>
      <c r="I112" s="584">
        <v>65.599999999999994</v>
      </c>
      <c r="J112" s="586">
        <v>17.8</v>
      </c>
      <c r="K112" s="584">
        <f t="shared" si="30"/>
        <v>5.2000000000000028</v>
      </c>
      <c r="L112" s="584">
        <f t="shared" si="27"/>
        <v>47.8</v>
      </c>
      <c r="M112" s="587">
        <f t="shared" si="31"/>
        <v>0.10878661087866115</v>
      </c>
      <c r="N112" s="587"/>
    </row>
    <row r="113" spans="1:14">
      <c r="B113" s="583"/>
      <c r="F113" s="585" t="s">
        <v>374</v>
      </c>
      <c r="G113" s="584" t="s">
        <v>61</v>
      </c>
      <c r="H113" s="584">
        <v>97.5</v>
      </c>
      <c r="I113" s="584">
        <v>89.6</v>
      </c>
      <c r="J113" s="586">
        <v>25.8</v>
      </c>
      <c r="K113" s="584">
        <f t="shared" si="30"/>
        <v>7.9000000000000057</v>
      </c>
      <c r="L113" s="584">
        <f t="shared" si="27"/>
        <v>63.8</v>
      </c>
      <c r="M113" s="587">
        <f t="shared" si="31"/>
        <v>0.1238244514106584</v>
      </c>
      <c r="N113" s="587"/>
    </row>
    <row r="114" spans="1:14">
      <c r="B114" s="583"/>
      <c r="F114" s="585" t="s">
        <v>378</v>
      </c>
      <c r="G114" s="584" t="s">
        <v>62</v>
      </c>
      <c r="H114" s="586">
        <v>88.2</v>
      </c>
      <c r="I114" s="586">
        <v>82.2</v>
      </c>
      <c r="J114" s="586">
        <v>22</v>
      </c>
      <c r="K114" s="584">
        <f>H114-I114</f>
        <v>6</v>
      </c>
      <c r="L114" s="584">
        <f t="shared" si="27"/>
        <v>60.2</v>
      </c>
      <c r="M114" s="587">
        <f t="shared" si="31"/>
        <v>9.9667774086378738E-2</v>
      </c>
      <c r="N114" s="587"/>
    </row>
    <row r="115" spans="1:14">
      <c r="A115" s="582"/>
      <c r="B115" s="583"/>
      <c r="F115" s="585" t="s">
        <v>840</v>
      </c>
      <c r="G115" s="584" t="s">
        <v>63</v>
      </c>
      <c r="H115" s="584">
        <v>84.1</v>
      </c>
      <c r="I115" s="584">
        <v>79.2</v>
      </c>
      <c r="J115" s="586">
        <v>24.3</v>
      </c>
      <c r="K115" s="584">
        <f t="shared" ref="K115:L119" si="32">H115-I115</f>
        <v>4.8999999999999915</v>
      </c>
      <c r="L115" s="584">
        <f t="shared" si="27"/>
        <v>54.900000000000006</v>
      </c>
      <c r="M115" s="587">
        <f t="shared" si="31"/>
        <v>8.9253187613843182E-2</v>
      </c>
      <c r="N115" s="587"/>
    </row>
    <row r="116" spans="1:14">
      <c r="B116" s="583"/>
      <c r="F116" s="585" t="s">
        <v>364</v>
      </c>
      <c r="G116" s="585" t="s">
        <v>64</v>
      </c>
      <c r="H116" s="584">
        <v>92.1</v>
      </c>
      <c r="I116" s="584">
        <v>85.6</v>
      </c>
      <c r="J116" s="586">
        <v>37</v>
      </c>
      <c r="K116" s="584">
        <f t="shared" si="32"/>
        <v>6.5</v>
      </c>
      <c r="L116" s="584">
        <f t="shared" si="32"/>
        <v>48.599999999999994</v>
      </c>
      <c r="M116" s="587">
        <f t="shared" si="31"/>
        <v>0.13374485596707819</v>
      </c>
      <c r="N116" s="587"/>
    </row>
    <row r="117" spans="1:14">
      <c r="B117" s="583"/>
      <c r="F117" s="585" t="s">
        <v>377</v>
      </c>
      <c r="G117" s="584" t="s">
        <v>65</v>
      </c>
      <c r="H117" s="584">
        <v>81</v>
      </c>
      <c r="I117" s="584">
        <v>73.5</v>
      </c>
      <c r="J117" s="586">
        <v>23.3</v>
      </c>
      <c r="K117" s="584">
        <f t="shared" si="32"/>
        <v>7.5</v>
      </c>
      <c r="L117" s="584">
        <f t="shared" si="32"/>
        <v>50.2</v>
      </c>
      <c r="M117" s="587">
        <f t="shared" si="31"/>
        <v>0.14940239043824699</v>
      </c>
      <c r="N117" s="587"/>
    </row>
    <row r="118" spans="1:14">
      <c r="B118" s="583"/>
      <c r="F118" s="585" t="s">
        <v>284</v>
      </c>
      <c r="G118" s="584" t="s">
        <v>66</v>
      </c>
      <c r="H118" s="584">
        <v>76.900000000000006</v>
      </c>
      <c r="I118" s="584">
        <v>67.7</v>
      </c>
      <c r="J118" s="586">
        <v>22.3</v>
      </c>
      <c r="K118" s="584">
        <f t="shared" si="32"/>
        <v>9.2000000000000028</v>
      </c>
      <c r="L118" s="584">
        <f t="shared" si="32"/>
        <v>45.400000000000006</v>
      </c>
      <c r="M118" s="587">
        <f t="shared" si="31"/>
        <v>0.20264317180616745</v>
      </c>
      <c r="N118" s="587"/>
    </row>
    <row r="119" spans="1:14">
      <c r="B119" s="583"/>
      <c r="F119" s="585" t="s">
        <v>841</v>
      </c>
      <c r="G119" s="584" t="s">
        <v>67</v>
      </c>
      <c r="H119" s="586">
        <v>87.8</v>
      </c>
      <c r="I119" s="586">
        <v>76.3</v>
      </c>
      <c r="J119" s="586">
        <v>21.7</v>
      </c>
      <c r="K119" s="584">
        <f>H119-I119</f>
        <v>11.5</v>
      </c>
      <c r="L119" s="584">
        <f t="shared" si="32"/>
        <v>54.599999999999994</v>
      </c>
      <c r="M119" s="587">
        <f>K119/L119</f>
        <v>0.21062271062271065</v>
      </c>
      <c r="N119" s="587"/>
    </row>
    <row r="120" spans="1:14">
      <c r="A120" s="582" t="s">
        <v>806</v>
      </c>
      <c r="B120" s="583">
        <v>12</v>
      </c>
      <c r="C120" s="584">
        <v>3</v>
      </c>
      <c r="D120" s="584">
        <v>1</v>
      </c>
      <c r="F120" s="585" t="s">
        <v>299</v>
      </c>
      <c r="G120" s="584" t="s">
        <v>59</v>
      </c>
      <c r="H120" s="584">
        <v>89.7</v>
      </c>
      <c r="I120" s="584">
        <v>81.400000000000006</v>
      </c>
      <c r="J120" s="586">
        <v>23.7</v>
      </c>
      <c r="K120" s="584">
        <f>H120-I120</f>
        <v>8.2999999999999972</v>
      </c>
      <c r="L120" s="584">
        <f>I120-J120</f>
        <v>57.7</v>
      </c>
      <c r="M120" s="587">
        <f>K120/L120</f>
        <v>0.14384748700173305</v>
      </c>
      <c r="N120" s="587"/>
    </row>
    <row r="121" spans="1:14">
      <c r="B121" s="583"/>
      <c r="F121" s="585" t="s">
        <v>834</v>
      </c>
      <c r="G121" s="585" t="s">
        <v>262</v>
      </c>
      <c r="H121" s="584">
        <v>78.099999999999994</v>
      </c>
      <c r="I121" s="584">
        <v>71.7</v>
      </c>
      <c r="J121" s="586">
        <v>23.3</v>
      </c>
      <c r="K121" s="584">
        <f t="shared" ref="K121:L129" si="33">H121-I121</f>
        <v>6.3999999999999915</v>
      </c>
      <c r="L121" s="584">
        <f>I121-J121</f>
        <v>48.400000000000006</v>
      </c>
      <c r="M121" s="587">
        <f t="shared" ref="M121:M128" si="34">K121/L121</f>
        <v>0.1322314049586775</v>
      </c>
      <c r="N121" s="587"/>
    </row>
    <row r="122" spans="1:14">
      <c r="B122" s="583" t="s">
        <v>358</v>
      </c>
      <c r="F122" s="585" t="s">
        <v>835</v>
      </c>
      <c r="G122" s="584" t="s">
        <v>60</v>
      </c>
      <c r="H122" s="584">
        <v>82</v>
      </c>
      <c r="I122" s="584">
        <v>75.2</v>
      </c>
      <c r="J122" s="586">
        <v>23.9</v>
      </c>
      <c r="K122" s="584">
        <f t="shared" si="33"/>
        <v>6.7999999999999972</v>
      </c>
      <c r="L122" s="584">
        <f t="shared" si="33"/>
        <v>51.300000000000004</v>
      </c>
      <c r="M122" s="587">
        <f t="shared" si="34"/>
        <v>0.1325536062378167</v>
      </c>
      <c r="N122" s="587"/>
    </row>
    <row r="123" spans="1:14">
      <c r="B123" s="583"/>
      <c r="F123" s="585" t="s">
        <v>758</v>
      </c>
      <c r="G123" s="584" t="s">
        <v>61</v>
      </c>
      <c r="H123" s="584">
        <v>98.5</v>
      </c>
      <c r="I123" s="584">
        <v>89.6</v>
      </c>
      <c r="J123" s="586">
        <v>23.5</v>
      </c>
      <c r="K123" s="584">
        <f t="shared" si="33"/>
        <v>8.9000000000000057</v>
      </c>
      <c r="L123" s="584">
        <f t="shared" si="33"/>
        <v>66.099999999999994</v>
      </c>
      <c r="M123" s="587">
        <f t="shared" si="34"/>
        <v>0.13464447806354018</v>
      </c>
      <c r="N123" s="587"/>
    </row>
    <row r="124" spans="1:14">
      <c r="B124" s="583"/>
      <c r="F124" s="585" t="s">
        <v>337</v>
      </c>
      <c r="G124" s="584" t="s">
        <v>62</v>
      </c>
      <c r="H124" s="586">
        <v>84.7</v>
      </c>
      <c r="I124" s="586">
        <v>78.599999999999994</v>
      </c>
      <c r="J124" s="586">
        <v>23.7</v>
      </c>
      <c r="K124" s="584">
        <f>H124-I124</f>
        <v>6.1000000000000085</v>
      </c>
      <c r="L124" s="584">
        <f t="shared" si="33"/>
        <v>54.899999999999991</v>
      </c>
      <c r="M124" s="587">
        <f t="shared" si="34"/>
        <v>0.11111111111111129</v>
      </c>
      <c r="N124" s="587"/>
    </row>
    <row r="125" spans="1:14">
      <c r="A125" s="582"/>
      <c r="B125" s="583"/>
      <c r="F125" s="585" t="s">
        <v>536</v>
      </c>
      <c r="G125" s="584" t="s">
        <v>63</v>
      </c>
      <c r="H125" s="584">
        <v>80.599999999999994</v>
      </c>
      <c r="I125" s="584">
        <v>74.7</v>
      </c>
      <c r="J125" s="586">
        <v>23.1</v>
      </c>
      <c r="K125" s="584">
        <f t="shared" ref="K125:K128" si="35">H125-I125</f>
        <v>5.8999999999999915</v>
      </c>
      <c r="L125" s="584">
        <f t="shared" si="33"/>
        <v>51.6</v>
      </c>
      <c r="M125" s="587">
        <f t="shared" si="34"/>
        <v>0.11434108527131766</v>
      </c>
      <c r="N125" s="587"/>
    </row>
    <row r="126" spans="1:14">
      <c r="B126" s="583"/>
      <c r="F126" s="585" t="s">
        <v>334</v>
      </c>
      <c r="G126" s="585" t="s">
        <v>64</v>
      </c>
      <c r="H126" s="584">
        <v>85.1</v>
      </c>
      <c r="I126" s="584">
        <v>77.400000000000006</v>
      </c>
      <c r="J126" s="586">
        <v>24.7</v>
      </c>
      <c r="K126" s="584">
        <f t="shared" si="35"/>
        <v>7.6999999999999886</v>
      </c>
      <c r="L126" s="584">
        <f t="shared" si="33"/>
        <v>52.7</v>
      </c>
      <c r="M126" s="587">
        <f t="shared" si="34"/>
        <v>0.14611005692599599</v>
      </c>
      <c r="N126" s="587"/>
    </row>
    <row r="127" spans="1:14">
      <c r="B127" s="583"/>
      <c r="F127" s="585" t="s">
        <v>287</v>
      </c>
      <c r="G127" s="584" t="s">
        <v>65</v>
      </c>
      <c r="H127" s="584">
        <v>96.5</v>
      </c>
      <c r="I127" s="584">
        <v>85.5</v>
      </c>
      <c r="J127" s="586">
        <v>22.5</v>
      </c>
      <c r="K127" s="584">
        <f t="shared" si="35"/>
        <v>11</v>
      </c>
      <c r="L127" s="584">
        <f t="shared" si="33"/>
        <v>63</v>
      </c>
      <c r="M127" s="587">
        <f t="shared" si="34"/>
        <v>0.17460317460317459</v>
      </c>
      <c r="N127" s="587"/>
    </row>
    <row r="128" spans="1:14">
      <c r="B128" s="583"/>
      <c r="F128" s="585" t="s">
        <v>836</v>
      </c>
      <c r="G128" s="584" t="s">
        <v>66</v>
      </c>
      <c r="H128" s="584">
        <v>89</v>
      </c>
      <c r="I128" s="584">
        <v>78.3</v>
      </c>
      <c r="J128" s="586">
        <v>23.6</v>
      </c>
      <c r="K128" s="584">
        <f t="shared" si="35"/>
        <v>10.700000000000003</v>
      </c>
      <c r="L128" s="584">
        <f t="shared" si="33"/>
        <v>54.699999999999996</v>
      </c>
      <c r="M128" s="587">
        <f t="shared" si="34"/>
        <v>0.1956124314442414</v>
      </c>
      <c r="N128" s="587"/>
    </row>
    <row r="129" spans="1:14">
      <c r="B129" s="583"/>
      <c r="F129" s="585" t="s">
        <v>361</v>
      </c>
      <c r="G129" s="584" t="s">
        <v>67</v>
      </c>
      <c r="H129" s="586">
        <v>85</v>
      </c>
      <c r="I129" s="586">
        <v>72.099999999999994</v>
      </c>
      <c r="J129" s="586">
        <v>23.5</v>
      </c>
      <c r="K129" s="584">
        <f>H129-I129</f>
        <v>12.900000000000006</v>
      </c>
      <c r="L129" s="584">
        <f t="shared" si="33"/>
        <v>48.599999999999994</v>
      </c>
      <c r="M129" s="587">
        <f>K129/L129</f>
        <v>0.26543209876543222</v>
      </c>
      <c r="N129" s="587"/>
    </row>
    <row r="130" spans="1:14">
      <c r="A130" s="582" t="s">
        <v>806</v>
      </c>
      <c r="B130" s="583">
        <v>13</v>
      </c>
      <c r="C130" s="584">
        <v>3</v>
      </c>
      <c r="D130" s="584">
        <v>1</v>
      </c>
      <c r="F130" s="585" t="s">
        <v>380</v>
      </c>
      <c r="G130" s="584" t="s">
        <v>59</v>
      </c>
      <c r="H130" s="584">
        <v>85.5</v>
      </c>
      <c r="I130" s="584">
        <v>76.8</v>
      </c>
      <c r="J130" s="586">
        <v>20.6</v>
      </c>
      <c r="K130" s="584">
        <f>H130-I130</f>
        <v>8.7000000000000028</v>
      </c>
      <c r="L130" s="584">
        <f>I130-J130</f>
        <v>56.199999999999996</v>
      </c>
      <c r="M130" s="587">
        <f>K130/L130</f>
        <v>0.15480427046263351</v>
      </c>
    </row>
    <row r="131" spans="1:14">
      <c r="B131" s="583"/>
      <c r="F131" s="585" t="s">
        <v>387</v>
      </c>
      <c r="G131" s="585" t="s">
        <v>262</v>
      </c>
      <c r="H131" s="584">
        <v>90.4</v>
      </c>
      <c r="I131" s="584">
        <v>80.900000000000006</v>
      </c>
      <c r="J131" s="586">
        <v>21.7</v>
      </c>
      <c r="K131" s="584">
        <f t="shared" ref="K131:L139" si="36">H131-I131</f>
        <v>9.5</v>
      </c>
      <c r="L131" s="584">
        <f>I131-J131</f>
        <v>59.2</v>
      </c>
      <c r="M131" s="587">
        <f t="shared" ref="M131:M138" si="37">K131/L131</f>
        <v>0.16047297297297297</v>
      </c>
    </row>
    <row r="132" spans="1:14">
      <c r="B132" s="583" t="s">
        <v>358</v>
      </c>
      <c r="F132" s="585" t="s">
        <v>400</v>
      </c>
      <c r="G132" s="584" t="s">
        <v>60</v>
      </c>
      <c r="H132" s="584">
        <v>98.8</v>
      </c>
      <c r="I132" s="584">
        <v>88.3</v>
      </c>
      <c r="J132" s="586">
        <v>22.5</v>
      </c>
      <c r="K132" s="584">
        <f t="shared" si="36"/>
        <v>10.5</v>
      </c>
      <c r="L132" s="584">
        <f t="shared" si="36"/>
        <v>65.8</v>
      </c>
      <c r="M132" s="587">
        <f t="shared" si="37"/>
        <v>0.15957446808510639</v>
      </c>
    </row>
    <row r="133" spans="1:14">
      <c r="B133" s="583" t="s">
        <v>842</v>
      </c>
      <c r="F133" s="585" t="s">
        <v>414</v>
      </c>
      <c r="G133" s="584" t="s">
        <v>61</v>
      </c>
      <c r="H133" s="584">
        <v>87.6</v>
      </c>
      <c r="I133" s="584">
        <v>79</v>
      </c>
      <c r="J133" s="586">
        <v>29.8</v>
      </c>
      <c r="K133" s="584">
        <f t="shared" si="36"/>
        <v>8.5999999999999943</v>
      </c>
      <c r="L133" s="584">
        <f t="shared" si="36"/>
        <v>49.2</v>
      </c>
      <c r="M133" s="587">
        <f t="shared" si="37"/>
        <v>0.17479674796747954</v>
      </c>
    </row>
    <row r="134" spans="1:14">
      <c r="B134" s="583" t="s">
        <v>843</v>
      </c>
      <c r="F134" s="585" t="s">
        <v>381</v>
      </c>
      <c r="G134" s="584" t="s">
        <v>62</v>
      </c>
      <c r="H134" s="586">
        <v>83.7</v>
      </c>
      <c r="I134" s="586">
        <v>77.400000000000006</v>
      </c>
      <c r="J134" s="586">
        <v>22.5</v>
      </c>
      <c r="K134" s="584">
        <f>H134-I134</f>
        <v>6.2999999999999972</v>
      </c>
      <c r="L134" s="584">
        <f t="shared" si="36"/>
        <v>54.900000000000006</v>
      </c>
      <c r="M134" s="587">
        <f t="shared" si="37"/>
        <v>0.11475409836065567</v>
      </c>
    </row>
    <row r="135" spans="1:14">
      <c r="A135" s="582"/>
      <c r="B135" s="583"/>
      <c r="F135" s="585" t="s">
        <v>382</v>
      </c>
      <c r="G135" s="584" t="s">
        <v>63</v>
      </c>
      <c r="H135" s="584">
        <v>89.9</v>
      </c>
      <c r="I135" s="584">
        <v>83.7</v>
      </c>
      <c r="J135" s="586">
        <v>23.5</v>
      </c>
      <c r="K135" s="584">
        <f t="shared" ref="K135:K138" si="38">H135-I135</f>
        <v>6.2000000000000028</v>
      </c>
      <c r="L135" s="584">
        <f t="shared" si="36"/>
        <v>60.2</v>
      </c>
      <c r="M135" s="587">
        <f t="shared" si="37"/>
        <v>0.1029900332225914</v>
      </c>
    </row>
    <row r="136" spans="1:14">
      <c r="B136" s="583"/>
      <c r="F136" s="585" t="s">
        <v>844</v>
      </c>
      <c r="G136" s="585" t="s">
        <v>64</v>
      </c>
      <c r="H136" s="584">
        <v>85.3</v>
      </c>
      <c r="I136" s="584">
        <v>80.400000000000006</v>
      </c>
      <c r="J136" s="586">
        <v>20.7</v>
      </c>
      <c r="K136" s="584">
        <f t="shared" si="38"/>
        <v>4.8999999999999915</v>
      </c>
      <c r="L136" s="584">
        <f t="shared" si="36"/>
        <v>59.7</v>
      </c>
      <c r="M136" s="587">
        <f t="shared" si="37"/>
        <v>8.2077051926298009E-2</v>
      </c>
    </row>
    <row r="137" spans="1:14">
      <c r="B137" s="583"/>
      <c r="F137" s="585" t="s">
        <v>698</v>
      </c>
      <c r="G137" s="584" t="s">
        <v>65</v>
      </c>
      <c r="H137" s="584">
        <v>76.8</v>
      </c>
      <c r="I137" s="584">
        <v>73.7</v>
      </c>
      <c r="J137" s="586">
        <v>24.3</v>
      </c>
      <c r="K137" s="584">
        <f t="shared" si="38"/>
        <v>3.0999999999999943</v>
      </c>
      <c r="L137" s="584">
        <f t="shared" si="36"/>
        <v>49.400000000000006</v>
      </c>
      <c r="M137" s="587">
        <f t="shared" si="37"/>
        <v>6.2753036437246848E-2</v>
      </c>
    </row>
    <row r="138" spans="1:14">
      <c r="B138" s="583"/>
      <c r="F138" s="585" t="s">
        <v>272</v>
      </c>
      <c r="G138" s="584" t="s">
        <v>66</v>
      </c>
      <c r="H138" s="584">
        <v>109.3</v>
      </c>
      <c r="I138" s="584">
        <v>91</v>
      </c>
      <c r="J138" s="586">
        <v>22.4</v>
      </c>
      <c r="K138" s="584">
        <f t="shared" si="38"/>
        <v>18.299999999999997</v>
      </c>
      <c r="L138" s="584">
        <f t="shared" si="36"/>
        <v>68.599999999999994</v>
      </c>
      <c r="M138" s="587">
        <f t="shared" si="37"/>
        <v>0.26676384839650141</v>
      </c>
    </row>
    <row r="139" spans="1:14">
      <c r="B139" s="583"/>
      <c r="F139" s="585" t="s">
        <v>263</v>
      </c>
      <c r="G139" s="584" t="s">
        <v>67</v>
      </c>
      <c r="H139" s="586">
        <v>110.8</v>
      </c>
      <c r="I139" s="586">
        <v>91.7</v>
      </c>
      <c r="J139" s="586">
        <v>23.6</v>
      </c>
      <c r="K139" s="584">
        <f>H139-I139</f>
        <v>19.099999999999994</v>
      </c>
      <c r="L139" s="584">
        <f t="shared" si="36"/>
        <v>68.099999999999994</v>
      </c>
      <c r="M139" s="587">
        <f>K139/L139</f>
        <v>0.28046989720998527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14"/>
  <sheetViews>
    <sheetView workbookViewId="0">
      <selection activeCell="C10" sqref="C10"/>
    </sheetView>
  </sheetViews>
  <sheetFormatPr defaultRowHeight="15"/>
  <cols>
    <col min="1" max="1" width="9.140625" style="586"/>
    <col min="2" max="2" width="11.7109375" style="586" customWidth="1"/>
    <col min="3" max="3" width="12.42578125" style="586" customWidth="1"/>
    <col min="4" max="4" width="12" style="586" customWidth="1"/>
    <col min="5" max="5" width="11.140625" style="586" customWidth="1"/>
    <col min="6" max="6" width="11.7109375" style="586" customWidth="1"/>
    <col min="7" max="7" width="12" style="586" customWidth="1"/>
    <col min="8" max="11" width="12.5703125" style="586" customWidth="1"/>
    <col min="12" max="16384" width="9.140625" style="577"/>
  </cols>
  <sheetData>
    <row r="1" spans="1:11">
      <c r="A1" s="586" t="s">
        <v>845</v>
      </c>
      <c r="B1" s="589">
        <v>42314</v>
      </c>
      <c r="C1" s="589">
        <f>B1+2</f>
        <v>42316</v>
      </c>
      <c r="D1" s="589">
        <f t="shared" ref="D1:K1" si="0">C1+1</f>
        <v>42317</v>
      </c>
      <c r="E1" s="589">
        <f>D1+2</f>
        <v>42319</v>
      </c>
      <c r="F1" s="589">
        <f>E1+2</f>
        <v>42321</v>
      </c>
      <c r="G1" s="589">
        <f t="shared" si="0"/>
        <v>42322</v>
      </c>
      <c r="H1" s="589">
        <f>G1+2</f>
        <v>42324</v>
      </c>
      <c r="I1" s="589">
        <f>H1+2</f>
        <v>42326</v>
      </c>
      <c r="J1" s="589">
        <f t="shared" si="0"/>
        <v>42327</v>
      </c>
      <c r="K1" s="589">
        <f t="shared" si="0"/>
        <v>42328</v>
      </c>
    </row>
    <row r="3" spans="1:11">
      <c r="A3" s="586" t="s">
        <v>419</v>
      </c>
    </row>
    <row r="4" spans="1:11">
      <c r="A4" s="586" t="s">
        <v>59</v>
      </c>
      <c r="B4" s="586">
        <v>6.77</v>
      </c>
      <c r="C4" s="591">
        <v>12.29</v>
      </c>
      <c r="D4" s="586">
        <v>11.69</v>
      </c>
      <c r="E4" s="586">
        <v>17.809999999999999</v>
      </c>
      <c r="F4" s="586">
        <v>14.93</v>
      </c>
      <c r="G4" s="586">
        <v>11.63</v>
      </c>
      <c r="H4" s="586">
        <v>10.66</v>
      </c>
      <c r="I4" s="586">
        <v>10.18</v>
      </c>
      <c r="J4" s="591">
        <v>12.73</v>
      </c>
      <c r="K4" s="586">
        <v>10.26</v>
      </c>
    </row>
    <row r="5" spans="1:11">
      <c r="A5" s="592" t="s">
        <v>262</v>
      </c>
      <c r="B5" s="586">
        <v>19.71</v>
      </c>
      <c r="C5" s="591">
        <v>21.79</v>
      </c>
      <c r="D5" s="586">
        <v>22.03</v>
      </c>
      <c r="E5" s="586">
        <v>21.54</v>
      </c>
      <c r="F5" s="586">
        <v>22.23</v>
      </c>
      <c r="G5" s="586">
        <v>20.34</v>
      </c>
      <c r="H5" s="586">
        <v>21.42</v>
      </c>
      <c r="I5" s="586">
        <v>19.829999999999998</v>
      </c>
      <c r="J5" s="591">
        <v>21.67</v>
      </c>
      <c r="K5" s="586">
        <v>19.73</v>
      </c>
    </row>
    <row r="6" spans="1:11">
      <c r="A6" s="586" t="s">
        <v>60</v>
      </c>
      <c r="B6" s="586">
        <v>21.88</v>
      </c>
      <c r="C6" s="591">
        <v>23.29</v>
      </c>
      <c r="D6" s="586">
        <v>22.75</v>
      </c>
      <c r="E6" s="586">
        <v>22.17</v>
      </c>
      <c r="F6" s="586">
        <v>26.12</v>
      </c>
      <c r="G6" s="586">
        <v>23.33</v>
      </c>
      <c r="H6" s="586">
        <v>22.52</v>
      </c>
      <c r="I6" s="586">
        <v>22.07</v>
      </c>
      <c r="J6" s="591">
        <v>22.26</v>
      </c>
      <c r="K6" s="586">
        <v>22.44</v>
      </c>
    </row>
    <row r="7" spans="1:11">
      <c r="A7" s="586" t="s">
        <v>61</v>
      </c>
      <c r="B7" s="586">
        <v>25.36</v>
      </c>
      <c r="C7" s="591">
        <v>25.99</v>
      </c>
      <c r="D7" s="586">
        <v>24.88</v>
      </c>
      <c r="E7" s="586">
        <v>24.65</v>
      </c>
      <c r="F7" s="586">
        <v>25.47</v>
      </c>
      <c r="G7" s="586">
        <v>26.19</v>
      </c>
      <c r="H7" s="586">
        <v>25.84</v>
      </c>
      <c r="I7" s="586">
        <v>25.64</v>
      </c>
      <c r="J7" s="591">
        <v>25.3</v>
      </c>
      <c r="K7" s="586">
        <v>25.58</v>
      </c>
    </row>
    <row r="8" spans="1:11">
      <c r="A8" s="586" t="s">
        <v>62</v>
      </c>
      <c r="B8" s="586">
        <v>26.83</v>
      </c>
      <c r="C8" s="591">
        <v>26.51</v>
      </c>
      <c r="D8" s="586">
        <v>26.68</v>
      </c>
      <c r="E8" s="586">
        <v>26.45</v>
      </c>
      <c r="F8" s="586">
        <v>25.7</v>
      </c>
      <c r="G8" s="586">
        <v>26.52</v>
      </c>
      <c r="H8" s="586">
        <v>27.17</v>
      </c>
      <c r="I8" s="586">
        <v>25.85</v>
      </c>
      <c r="J8" s="591">
        <v>27.11</v>
      </c>
      <c r="K8" s="586">
        <v>26.59</v>
      </c>
    </row>
    <row r="9" spans="1:11">
      <c r="A9" s="586" t="s">
        <v>63</v>
      </c>
      <c r="B9" s="586">
        <v>23.97</v>
      </c>
      <c r="C9" s="591">
        <v>24.5</v>
      </c>
      <c r="D9" s="586">
        <v>24.34</v>
      </c>
      <c r="E9" s="586">
        <v>24.85</v>
      </c>
      <c r="F9" s="586">
        <v>24.15</v>
      </c>
      <c r="G9" s="586">
        <v>23.66</v>
      </c>
      <c r="H9" s="586">
        <v>24.32</v>
      </c>
      <c r="I9" s="586">
        <v>23.88</v>
      </c>
      <c r="J9" s="591">
        <v>24.13</v>
      </c>
      <c r="K9" s="586">
        <v>24.7</v>
      </c>
    </row>
    <row r="10" spans="1:11">
      <c r="A10" s="586" t="s">
        <v>64</v>
      </c>
      <c r="B10" s="586">
        <v>22.89</v>
      </c>
      <c r="C10" s="591">
        <v>23.73</v>
      </c>
      <c r="D10" s="586">
        <v>23.47</v>
      </c>
      <c r="E10" s="586">
        <v>23.35</v>
      </c>
      <c r="F10" s="586">
        <v>25.17</v>
      </c>
      <c r="G10" s="586">
        <v>24.42</v>
      </c>
      <c r="H10" s="586">
        <v>25.33</v>
      </c>
      <c r="I10" s="586">
        <v>24.09</v>
      </c>
      <c r="J10" s="591">
        <v>23.7</v>
      </c>
      <c r="K10" s="586">
        <v>24.06</v>
      </c>
    </row>
    <row r="11" spans="1:11">
      <c r="A11" s="586" t="s">
        <v>65</v>
      </c>
      <c r="B11" s="586">
        <v>26.74</v>
      </c>
      <c r="C11" s="591">
        <v>27.05</v>
      </c>
      <c r="D11" s="586">
        <v>26.97</v>
      </c>
      <c r="E11" s="586">
        <v>27.3</v>
      </c>
      <c r="F11" s="586">
        <v>27.51</v>
      </c>
      <c r="G11" s="586">
        <v>27.28</v>
      </c>
      <c r="H11" s="586">
        <v>28.16</v>
      </c>
      <c r="I11" s="586">
        <v>28.09</v>
      </c>
      <c r="J11" s="591">
        <v>26.63</v>
      </c>
      <c r="K11" s="586">
        <v>27.72</v>
      </c>
    </row>
    <row r="12" spans="1:11">
      <c r="A12" s="586" t="s">
        <v>66</v>
      </c>
      <c r="B12" s="586">
        <v>28.25</v>
      </c>
      <c r="C12" s="591">
        <v>28.27</v>
      </c>
      <c r="D12" s="586">
        <v>27.69</v>
      </c>
      <c r="E12" s="586">
        <v>28.21</v>
      </c>
      <c r="F12" s="586">
        <v>28.38</v>
      </c>
      <c r="G12" s="586">
        <v>28.48</v>
      </c>
      <c r="H12" s="586">
        <v>28.48</v>
      </c>
      <c r="I12" s="586">
        <v>28.78</v>
      </c>
      <c r="J12" s="591">
        <v>27.75</v>
      </c>
      <c r="K12" s="586">
        <v>28.78</v>
      </c>
    </row>
    <row r="13" spans="1:11">
      <c r="C13" s="591"/>
      <c r="J13" s="591"/>
    </row>
    <row r="14" spans="1:11">
      <c r="B14" s="586">
        <f>SUM(B4:B13)</f>
        <v>202.4</v>
      </c>
      <c r="C14" s="586">
        <f t="shared" ref="C14:K14" si="1">SUM(C4:C13)</f>
        <v>213.42000000000002</v>
      </c>
      <c r="D14" s="586">
        <f t="shared" si="1"/>
        <v>210.5</v>
      </c>
      <c r="E14" s="586">
        <f t="shared" si="1"/>
        <v>216.33</v>
      </c>
      <c r="F14" s="586">
        <f>SUM(F4:F13)</f>
        <v>219.65999999999997</v>
      </c>
      <c r="G14" s="586">
        <f>SUM(G4:G13)</f>
        <v>211.84999999999997</v>
      </c>
      <c r="H14" s="586">
        <f t="shared" si="1"/>
        <v>213.89999999999998</v>
      </c>
      <c r="I14" s="586">
        <f>SUM(I4:I13)</f>
        <v>208.41</v>
      </c>
      <c r="J14" s="586">
        <f t="shared" si="1"/>
        <v>211.28</v>
      </c>
      <c r="K14" s="586">
        <f t="shared" si="1"/>
        <v>209.86</v>
      </c>
    </row>
    <row r="15" spans="1:11">
      <c r="B15" s="593">
        <f t="shared" ref="B15:K15" si="2">B14/(280*0.9)</f>
        <v>0.80317460317460321</v>
      </c>
      <c r="C15" s="593">
        <f t="shared" si="2"/>
        <v>0.84690476190476194</v>
      </c>
      <c r="D15" s="593">
        <f t="shared" si="2"/>
        <v>0.83531746031746035</v>
      </c>
      <c r="E15" s="593">
        <f t="shared" si="2"/>
        <v>0.85845238095238097</v>
      </c>
      <c r="F15" s="593">
        <f t="shared" si="2"/>
        <v>0.87166666666666659</v>
      </c>
      <c r="G15" s="593">
        <f t="shared" si="2"/>
        <v>0.84067460317460307</v>
      </c>
      <c r="H15" s="593">
        <f t="shared" si="2"/>
        <v>0.84880952380952368</v>
      </c>
      <c r="I15" s="593">
        <f t="shared" si="2"/>
        <v>0.82702380952380949</v>
      </c>
      <c r="J15" s="593">
        <f t="shared" si="2"/>
        <v>0.83841269841269839</v>
      </c>
      <c r="K15" s="593">
        <f t="shared" si="2"/>
        <v>0.83277777777777784</v>
      </c>
    </row>
    <row r="16" spans="1:11">
      <c r="A16" s="586" t="s">
        <v>425</v>
      </c>
    </row>
    <row r="17" spans="1:11">
      <c r="A17" s="586" t="s">
        <v>59</v>
      </c>
      <c r="B17" s="586">
        <v>9.0299999999999994</v>
      </c>
      <c r="C17" s="591">
        <v>12.69</v>
      </c>
      <c r="D17" s="586">
        <v>12.54</v>
      </c>
      <c r="E17" s="586">
        <v>12.41</v>
      </c>
      <c r="F17" s="586">
        <v>13.85</v>
      </c>
      <c r="G17" s="586">
        <v>13.71</v>
      </c>
      <c r="H17" s="586">
        <v>11.97</v>
      </c>
      <c r="I17" s="586">
        <v>11.92</v>
      </c>
      <c r="J17" s="586">
        <v>11.23</v>
      </c>
      <c r="K17" s="586">
        <v>9.2799999999999994</v>
      </c>
    </row>
    <row r="18" spans="1:11">
      <c r="A18" s="592" t="s">
        <v>262</v>
      </c>
      <c r="B18" s="586">
        <v>19.79</v>
      </c>
      <c r="C18" s="591">
        <v>20.260000000000002</v>
      </c>
      <c r="D18" s="586">
        <v>20.73</v>
      </c>
      <c r="E18" s="586">
        <v>20.86</v>
      </c>
      <c r="F18" s="586">
        <v>20.260000000000002</v>
      </c>
      <c r="G18" s="586">
        <v>19.850000000000001</v>
      </c>
      <c r="H18" s="586">
        <v>19.86</v>
      </c>
      <c r="I18" s="586">
        <v>19.149999999999999</v>
      </c>
      <c r="J18" s="586">
        <v>20.56</v>
      </c>
      <c r="K18" s="586">
        <v>20.190000000000001</v>
      </c>
    </row>
    <row r="19" spans="1:11">
      <c r="A19" s="586" t="s">
        <v>60</v>
      </c>
      <c r="B19" s="586">
        <v>23.05</v>
      </c>
      <c r="C19" s="591">
        <v>22.91</v>
      </c>
      <c r="D19" s="586">
        <v>23.62</v>
      </c>
      <c r="E19" s="586">
        <v>23.96</v>
      </c>
      <c r="F19" s="586">
        <v>24.01</v>
      </c>
      <c r="G19" s="586">
        <v>23.65</v>
      </c>
      <c r="H19" s="586">
        <v>23.74</v>
      </c>
      <c r="I19" s="586">
        <v>23.19</v>
      </c>
      <c r="J19" s="586">
        <v>23.59</v>
      </c>
      <c r="K19" s="586">
        <v>23.7</v>
      </c>
    </row>
    <row r="20" spans="1:11">
      <c r="A20" s="586" t="s">
        <v>61</v>
      </c>
      <c r="B20" s="586">
        <v>25.46</v>
      </c>
      <c r="C20" s="591">
        <v>26.1</v>
      </c>
      <c r="D20" s="586">
        <v>26.34</v>
      </c>
      <c r="E20" s="586">
        <v>26.52</v>
      </c>
      <c r="F20" s="586">
        <v>26.07</v>
      </c>
      <c r="G20" s="586">
        <v>25.83</v>
      </c>
      <c r="H20" s="586">
        <v>25.94</v>
      </c>
      <c r="I20" s="586">
        <v>25.91</v>
      </c>
      <c r="J20" s="586">
        <v>25.28</v>
      </c>
      <c r="K20" s="586">
        <v>26.14</v>
      </c>
    </row>
    <row r="21" spans="1:11">
      <c r="A21" s="586" t="s">
        <v>62</v>
      </c>
      <c r="B21" s="586">
        <v>25.19</v>
      </c>
      <c r="C21" s="591">
        <v>25.08</v>
      </c>
      <c r="D21" s="586">
        <v>24.24</v>
      </c>
      <c r="E21" s="586">
        <v>24.7</v>
      </c>
      <c r="F21" s="586">
        <v>24.52</v>
      </c>
      <c r="G21" s="586">
        <v>24.28</v>
      </c>
      <c r="H21" s="586">
        <v>25.15</v>
      </c>
      <c r="I21" s="586">
        <v>24.7</v>
      </c>
      <c r="J21" s="586">
        <v>24.97</v>
      </c>
      <c r="K21" s="586">
        <v>24.1</v>
      </c>
    </row>
    <row r="22" spans="1:11">
      <c r="A22" s="586" t="s">
        <v>63</v>
      </c>
      <c r="B22" s="586">
        <v>22.39</v>
      </c>
      <c r="C22" s="591">
        <v>21.45</v>
      </c>
      <c r="D22" s="586">
        <v>23.14</v>
      </c>
      <c r="E22" s="586">
        <v>22.86</v>
      </c>
      <c r="F22" s="586">
        <v>21.76</v>
      </c>
      <c r="G22" s="586">
        <v>22.01</v>
      </c>
      <c r="H22" s="586">
        <v>22.81</v>
      </c>
      <c r="I22" s="586">
        <v>22.52</v>
      </c>
      <c r="J22" s="586">
        <v>22.35</v>
      </c>
      <c r="K22" s="586">
        <v>22.43</v>
      </c>
    </row>
    <row r="23" spans="1:11">
      <c r="A23" s="586" t="s">
        <v>64</v>
      </c>
      <c r="B23" s="586">
        <v>22.61</v>
      </c>
      <c r="C23" s="591">
        <v>22.09</v>
      </c>
      <c r="D23" s="586">
        <v>23.24</v>
      </c>
      <c r="E23" s="586">
        <v>23.62</v>
      </c>
      <c r="F23" s="586">
        <v>22.95</v>
      </c>
      <c r="G23" s="586">
        <v>22.79</v>
      </c>
      <c r="H23" s="586">
        <v>23.28</v>
      </c>
      <c r="I23" s="586">
        <v>23.51</v>
      </c>
      <c r="J23" s="586">
        <v>23.29</v>
      </c>
      <c r="K23" s="586">
        <v>24.09</v>
      </c>
    </row>
    <row r="24" spans="1:11">
      <c r="A24" s="586" t="s">
        <v>65</v>
      </c>
      <c r="B24" s="586">
        <v>26.61</v>
      </c>
      <c r="C24" s="591">
        <v>25.9</v>
      </c>
      <c r="D24" s="586">
        <v>27.85</v>
      </c>
      <c r="E24" s="586">
        <v>27.16</v>
      </c>
      <c r="F24" s="586">
        <v>25.49</v>
      </c>
      <c r="G24" s="586">
        <v>26.99</v>
      </c>
      <c r="H24" s="586">
        <v>27.22</v>
      </c>
      <c r="I24" s="586">
        <v>27.42</v>
      </c>
      <c r="J24" s="586">
        <v>27.34</v>
      </c>
      <c r="K24" s="586">
        <v>27.63</v>
      </c>
    </row>
    <row r="25" spans="1:11">
      <c r="A25" s="586" t="s">
        <v>66</v>
      </c>
      <c r="B25" s="586">
        <v>27.14</v>
      </c>
      <c r="C25" s="591">
        <v>27.55</v>
      </c>
      <c r="D25" s="586">
        <v>27.12</v>
      </c>
      <c r="E25" s="586">
        <v>27.23</v>
      </c>
      <c r="F25" s="586">
        <v>27.87</v>
      </c>
      <c r="G25" s="586">
        <v>28.01</v>
      </c>
      <c r="H25" s="586">
        <v>27.58</v>
      </c>
      <c r="I25" s="586">
        <v>28.02</v>
      </c>
      <c r="J25" s="586">
        <v>27.97</v>
      </c>
      <c r="K25" s="586">
        <v>27.38</v>
      </c>
    </row>
    <row r="26" spans="1:11">
      <c r="C26" s="591"/>
    </row>
    <row r="27" spans="1:11">
      <c r="B27" s="586">
        <f>SUM(B17:B25)</f>
        <v>201.26999999999998</v>
      </c>
      <c r="C27" s="586">
        <f>SUM(C17:C25)</f>
        <v>204.03000000000003</v>
      </c>
      <c r="D27" s="586">
        <f>SUM(D17:D26)</f>
        <v>208.82000000000002</v>
      </c>
      <c r="E27" s="586">
        <f t="shared" ref="E27" si="3">SUM(E17:E26)</f>
        <v>209.32</v>
      </c>
      <c r="F27" s="586">
        <f>SUM(F17:F26)</f>
        <v>206.78</v>
      </c>
      <c r="G27" s="586">
        <f>SUM(G17:G26)</f>
        <v>207.11999999999998</v>
      </c>
      <c r="H27" s="586">
        <f t="shared" ref="H27:K27" si="4">SUM(H17:H26)</f>
        <v>207.55</v>
      </c>
      <c r="I27" s="586">
        <f t="shared" si="4"/>
        <v>206.34</v>
      </c>
      <c r="J27" s="586">
        <f t="shared" si="4"/>
        <v>206.57999999999998</v>
      </c>
      <c r="K27" s="586">
        <f t="shared" si="4"/>
        <v>204.94</v>
      </c>
    </row>
    <row r="28" spans="1:11">
      <c r="B28" s="593">
        <f t="shared" ref="B28:K28" si="5">B27/(280*0.9)</f>
        <v>0.79869047619047617</v>
      </c>
      <c r="C28" s="593">
        <f t="shared" si="5"/>
        <v>0.80964285714285722</v>
      </c>
      <c r="D28" s="593">
        <f t="shared" si="5"/>
        <v>0.82865079365079375</v>
      </c>
      <c r="E28" s="593">
        <f t="shared" si="5"/>
        <v>0.83063492063492061</v>
      </c>
      <c r="F28" s="593">
        <f t="shared" si="5"/>
        <v>0.82055555555555559</v>
      </c>
      <c r="G28" s="593">
        <f t="shared" si="5"/>
        <v>0.8219047619047618</v>
      </c>
      <c r="H28" s="593">
        <f t="shared" si="5"/>
        <v>0.82361111111111118</v>
      </c>
      <c r="I28" s="593">
        <f t="shared" si="5"/>
        <v>0.81880952380952388</v>
      </c>
      <c r="J28" s="593">
        <f t="shared" si="5"/>
        <v>0.81976190476190469</v>
      </c>
      <c r="K28" s="593">
        <f t="shared" si="5"/>
        <v>0.81325396825396823</v>
      </c>
    </row>
    <row r="29" spans="1:11">
      <c r="A29" s="586" t="s">
        <v>431</v>
      </c>
      <c r="C29" s="591"/>
    </row>
    <row r="30" spans="1:11">
      <c r="A30" s="586" t="s">
        <v>59</v>
      </c>
      <c r="B30" s="586">
        <v>8.8000000000000007</v>
      </c>
      <c r="C30" s="591">
        <v>10.63</v>
      </c>
      <c r="D30" s="586">
        <v>10.1</v>
      </c>
      <c r="E30" s="586">
        <v>8.58</v>
      </c>
      <c r="F30" s="586">
        <v>11.76</v>
      </c>
      <c r="G30" s="586">
        <v>11.76</v>
      </c>
      <c r="H30" s="586">
        <v>11.73</v>
      </c>
      <c r="I30" s="586">
        <v>18.84</v>
      </c>
      <c r="J30" s="586">
        <v>10.98</v>
      </c>
      <c r="K30" s="586">
        <v>10.01</v>
      </c>
    </row>
    <row r="31" spans="1:11">
      <c r="A31" s="592" t="s">
        <v>262</v>
      </c>
      <c r="B31" s="586">
        <v>23.47</v>
      </c>
      <c r="C31" s="591">
        <v>24.3</v>
      </c>
      <c r="D31" s="586">
        <v>24.02</v>
      </c>
      <c r="E31" s="586">
        <v>23.87</v>
      </c>
      <c r="F31" s="586">
        <v>24.09</v>
      </c>
      <c r="G31" s="586">
        <v>24.37</v>
      </c>
      <c r="H31" s="586">
        <v>24.54</v>
      </c>
      <c r="I31" s="586">
        <v>25.51</v>
      </c>
      <c r="J31" s="586">
        <v>22.38</v>
      </c>
      <c r="K31" s="586">
        <v>23.69</v>
      </c>
    </row>
    <row r="32" spans="1:11">
      <c r="A32" s="586" t="s">
        <v>60</v>
      </c>
      <c r="B32" s="586">
        <v>26.14</v>
      </c>
      <c r="C32" s="591">
        <v>25.66</v>
      </c>
      <c r="D32" s="586">
        <v>25.38</v>
      </c>
      <c r="E32" s="586">
        <v>25.35</v>
      </c>
      <c r="F32" s="586">
        <v>25.16</v>
      </c>
      <c r="G32" s="586">
        <v>24.7</v>
      </c>
      <c r="H32" s="586">
        <v>25.77</v>
      </c>
      <c r="I32" s="586">
        <v>25.28</v>
      </c>
      <c r="J32" s="586">
        <v>25.44</v>
      </c>
      <c r="K32" s="586">
        <v>26.16</v>
      </c>
    </row>
    <row r="33" spans="1:11">
      <c r="A33" s="586" t="s">
        <v>61</v>
      </c>
      <c r="B33" s="586">
        <v>25.68</v>
      </c>
      <c r="C33" s="591">
        <v>25.92</v>
      </c>
      <c r="D33" s="586">
        <v>26.06</v>
      </c>
      <c r="E33" s="586">
        <v>25.85</v>
      </c>
      <c r="F33" s="586">
        <v>25.49</v>
      </c>
      <c r="G33" s="586">
        <v>25.55</v>
      </c>
      <c r="H33" s="586">
        <v>25.55</v>
      </c>
      <c r="I33" s="586">
        <v>25.77</v>
      </c>
      <c r="J33" s="586">
        <v>25.92</v>
      </c>
      <c r="K33" s="586">
        <v>25.35</v>
      </c>
    </row>
    <row r="34" spans="1:11">
      <c r="A34" s="586" t="s">
        <v>62</v>
      </c>
      <c r="B34" s="586">
        <v>26.46</v>
      </c>
      <c r="C34" s="591">
        <v>26.88</v>
      </c>
      <c r="D34" s="586">
        <v>26.94</v>
      </c>
      <c r="E34" s="586">
        <v>27.11</v>
      </c>
      <c r="F34" s="586">
        <v>27.1</v>
      </c>
      <c r="G34" s="586">
        <v>26.68</v>
      </c>
      <c r="H34" s="586">
        <v>26.69</v>
      </c>
      <c r="I34" s="586">
        <v>27.08</v>
      </c>
      <c r="J34" s="586">
        <v>28.28</v>
      </c>
      <c r="K34" s="586">
        <v>27.29</v>
      </c>
    </row>
    <row r="35" spans="1:11">
      <c r="A35" s="586" t="s">
        <v>63</v>
      </c>
      <c r="B35" s="586">
        <v>27.44</v>
      </c>
      <c r="C35" s="591">
        <v>27.58</v>
      </c>
      <c r="D35" s="586">
        <v>27.79</v>
      </c>
      <c r="E35" s="586">
        <v>28.22</v>
      </c>
      <c r="F35" s="586">
        <v>27.76</v>
      </c>
      <c r="G35" s="586">
        <v>27.67</v>
      </c>
      <c r="H35" s="586">
        <v>27.07</v>
      </c>
      <c r="I35" s="586">
        <v>27</v>
      </c>
      <c r="J35" s="586">
        <v>28.54</v>
      </c>
      <c r="K35" s="586">
        <v>27.36</v>
      </c>
    </row>
    <row r="36" spans="1:11">
      <c r="A36" s="586" t="s">
        <v>64</v>
      </c>
      <c r="B36" s="586">
        <v>25.34</v>
      </c>
      <c r="C36" s="591">
        <v>26.29</v>
      </c>
      <c r="D36" s="586">
        <v>26.34</v>
      </c>
      <c r="E36" s="586">
        <v>26.35</v>
      </c>
      <c r="F36" s="586">
        <v>25.66</v>
      </c>
      <c r="G36" s="586">
        <v>25.42</v>
      </c>
      <c r="H36" s="586">
        <v>25.01</v>
      </c>
      <c r="I36" s="586">
        <v>24.54</v>
      </c>
      <c r="J36" s="586">
        <v>26.23</v>
      </c>
      <c r="K36" s="586">
        <v>27.37</v>
      </c>
    </row>
    <row r="37" spans="1:11">
      <c r="A37" s="586" t="s">
        <v>65</v>
      </c>
      <c r="B37" s="586">
        <v>24.97</v>
      </c>
      <c r="C37" s="591">
        <v>25.48</v>
      </c>
      <c r="D37" s="586">
        <v>25.56</v>
      </c>
      <c r="E37" s="586">
        <v>26.86</v>
      </c>
      <c r="F37" s="586">
        <v>25.23</v>
      </c>
      <c r="G37" s="586">
        <v>23.96</v>
      </c>
      <c r="H37" s="586">
        <v>25.51</v>
      </c>
      <c r="I37" s="586">
        <v>24.07</v>
      </c>
      <c r="J37" s="586">
        <v>26</v>
      </c>
      <c r="K37" s="586">
        <v>25.55</v>
      </c>
    </row>
    <row r="38" spans="1:11">
      <c r="A38" s="586" t="s">
        <v>66</v>
      </c>
      <c r="B38" s="586">
        <v>22.99</v>
      </c>
      <c r="C38" s="591">
        <v>22.28</v>
      </c>
      <c r="D38" s="586">
        <v>22.66</v>
      </c>
      <c r="E38" s="586">
        <v>23.47</v>
      </c>
      <c r="F38" s="586">
        <v>22.85</v>
      </c>
      <c r="G38" s="586">
        <v>22.18</v>
      </c>
      <c r="H38" s="586">
        <v>23.29</v>
      </c>
      <c r="I38" s="586">
        <v>23.94</v>
      </c>
      <c r="J38" s="586">
        <v>23.81</v>
      </c>
      <c r="K38" s="586">
        <v>25.46</v>
      </c>
    </row>
    <row r="39" spans="1:11">
      <c r="C39" s="591"/>
    </row>
    <row r="40" spans="1:11">
      <c r="B40" s="586">
        <f t="shared" ref="B40:K40" si="6">SUM(B30:B38)</f>
        <v>211.29000000000002</v>
      </c>
      <c r="C40" s="586">
        <f t="shared" si="6"/>
        <v>215.01999999999998</v>
      </c>
      <c r="D40" s="586">
        <f t="shared" si="6"/>
        <v>214.85</v>
      </c>
      <c r="E40" s="586">
        <f t="shared" si="6"/>
        <v>215.66</v>
      </c>
      <c r="F40" s="586">
        <f t="shared" si="6"/>
        <v>215.09999999999997</v>
      </c>
      <c r="G40" s="586">
        <f t="shared" si="6"/>
        <v>212.29000000000005</v>
      </c>
      <c r="H40" s="586">
        <f t="shared" si="6"/>
        <v>215.15999999999997</v>
      </c>
      <c r="I40" s="586">
        <f t="shared" si="6"/>
        <v>222.02999999999997</v>
      </c>
      <c r="J40" s="586">
        <f t="shared" si="6"/>
        <v>217.57999999999998</v>
      </c>
      <c r="K40" s="586">
        <f t="shared" si="6"/>
        <v>218.24000000000004</v>
      </c>
    </row>
    <row r="41" spans="1:11">
      <c r="B41" s="593">
        <f t="shared" ref="B41:K41" si="7">B40/(280*0.9)</f>
        <v>0.83845238095238106</v>
      </c>
      <c r="C41" s="593">
        <f t="shared" si="7"/>
        <v>0.85325396825396815</v>
      </c>
      <c r="D41" s="593">
        <f t="shared" si="7"/>
        <v>0.85257936507936505</v>
      </c>
      <c r="E41" s="593">
        <f t="shared" si="7"/>
        <v>0.85579365079365077</v>
      </c>
      <c r="F41" s="593">
        <f t="shared" si="7"/>
        <v>0.85357142857142843</v>
      </c>
      <c r="G41" s="593">
        <f t="shared" si="7"/>
        <v>0.84242063492063513</v>
      </c>
      <c r="H41" s="593">
        <f t="shared" si="7"/>
        <v>0.85380952380952368</v>
      </c>
      <c r="I41" s="593">
        <f t="shared" si="7"/>
        <v>0.88107142857142851</v>
      </c>
      <c r="J41" s="593">
        <f t="shared" si="7"/>
        <v>0.8634126984126983</v>
      </c>
      <c r="K41" s="593">
        <f t="shared" si="7"/>
        <v>0.86603174603174615</v>
      </c>
    </row>
    <row r="42" spans="1:11">
      <c r="A42" s="586" t="s">
        <v>437</v>
      </c>
      <c r="C42" s="591"/>
    </row>
    <row r="43" spans="1:11">
      <c r="A43" s="586" t="s">
        <v>59</v>
      </c>
      <c r="B43" s="586">
        <v>15.26</v>
      </c>
      <c r="C43" s="591">
        <v>12.67</v>
      </c>
      <c r="D43" s="586">
        <v>13.02</v>
      </c>
      <c r="E43" s="586">
        <v>13.51</v>
      </c>
      <c r="F43" s="586">
        <v>13.11</v>
      </c>
      <c r="G43" s="586">
        <v>11.11</v>
      </c>
      <c r="H43" s="586">
        <v>13.75</v>
      </c>
      <c r="I43" s="586">
        <v>10.25</v>
      </c>
      <c r="J43" s="577">
        <v>10.64</v>
      </c>
      <c r="K43" s="586">
        <v>13.52</v>
      </c>
    </row>
    <row r="44" spans="1:11">
      <c r="A44" s="592" t="s">
        <v>262</v>
      </c>
      <c r="B44" s="586">
        <v>23.36</v>
      </c>
      <c r="C44" s="591">
        <v>23.34</v>
      </c>
      <c r="D44" s="586">
        <v>23.73</v>
      </c>
      <c r="E44" s="586">
        <v>22.95</v>
      </c>
      <c r="F44" s="586">
        <v>24</v>
      </c>
      <c r="G44" s="586">
        <v>23.67</v>
      </c>
      <c r="H44" s="586">
        <v>23.52</v>
      </c>
      <c r="I44" s="586">
        <v>22.18</v>
      </c>
      <c r="J44" s="577">
        <v>22.8</v>
      </c>
      <c r="K44" s="586">
        <v>21.81</v>
      </c>
    </row>
    <row r="45" spans="1:11">
      <c r="A45" s="586" t="s">
        <v>60</v>
      </c>
      <c r="B45" s="586">
        <v>25</v>
      </c>
      <c r="C45" s="591">
        <v>23.95</v>
      </c>
      <c r="D45" s="586">
        <v>24.33</v>
      </c>
      <c r="E45" s="586">
        <v>25.01</v>
      </c>
      <c r="F45" s="586">
        <v>25.24</v>
      </c>
      <c r="G45" s="586">
        <v>25</v>
      </c>
      <c r="H45" s="586">
        <v>25.23</v>
      </c>
      <c r="I45" s="586">
        <v>24.1</v>
      </c>
      <c r="J45" s="577">
        <v>24.75</v>
      </c>
      <c r="K45" s="586">
        <v>23.85</v>
      </c>
    </row>
    <row r="46" spans="1:11">
      <c r="A46" s="586" t="s">
        <v>61</v>
      </c>
      <c r="B46" s="586">
        <v>25.24</v>
      </c>
      <c r="C46" s="591">
        <v>25.42</v>
      </c>
      <c r="D46" s="586">
        <v>25.03</v>
      </c>
      <c r="E46" s="586">
        <v>25.65</v>
      </c>
      <c r="F46" s="586">
        <v>26.16</v>
      </c>
      <c r="G46" s="586">
        <v>25.83</v>
      </c>
      <c r="H46" s="586">
        <v>25.98</v>
      </c>
      <c r="I46" s="586">
        <v>26.26</v>
      </c>
      <c r="J46" s="577">
        <v>25.41</v>
      </c>
      <c r="K46" s="586">
        <v>25.68</v>
      </c>
    </row>
    <row r="47" spans="1:11">
      <c r="A47" s="586" t="s">
        <v>62</v>
      </c>
      <c r="B47" s="586">
        <v>27.26</v>
      </c>
      <c r="C47" s="591">
        <v>28.91</v>
      </c>
      <c r="D47" s="586">
        <v>26.62</v>
      </c>
      <c r="E47" s="586">
        <v>27.73</v>
      </c>
      <c r="F47" s="586">
        <v>28.13</v>
      </c>
      <c r="G47" s="586">
        <v>27.7</v>
      </c>
      <c r="H47" s="586">
        <v>28</v>
      </c>
      <c r="I47" s="586">
        <v>28.21</v>
      </c>
      <c r="J47" s="577">
        <v>27.55</v>
      </c>
      <c r="K47" s="586">
        <v>28.85</v>
      </c>
    </row>
    <row r="48" spans="1:11">
      <c r="A48" s="586" t="s">
        <v>63</v>
      </c>
      <c r="B48" s="586">
        <v>29.58</v>
      </c>
      <c r="C48" s="591">
        <v>31.32</v>
      </c>
      <c r="D48" s="586">
        <v>29.02</v>
      </c>
      <c r="E48" s="586">
        <v>29.55</v>
      </c>
      <c r="F48" s="586">
        <v>30.83</v>
      </c>
      <c r="G48" s="586">
        <v>30.29</v>
      </c>
      <c r="H48" s="586">
        <v>30.77</v>
      </c>
      <c r="I48" s="586">
        <v>31.35</v>
      </c>
      <c r="J48" s="577">
        <v>31.43</v>
      </c>
      <c r="K48" s="586">
        <v>31.74</v>
      </c>
    </row>
    <row r="49" spans="1:11">
      <c r="A49" s="586" t="s">
        <v>64</v>
      </c>
      <c r="B49" s="586">
        <v>27.87</v>
      </c>
      <c r="C49" s="591">
        <v>29.45</v>
      </c>
      <c r="D49" s="586">
        <v>26.75</v>
      </c>
      <c r="E49" s="586">
        <v>26.82</v>
      </c>
      <c r="F49" s="586">
        <v>26.44</v>
      </c>
      <c r="G49" s="586">
        <v>26.97</v>
      </c>
      <c r="H49" s="586">
        <v>27.45</v>
      </c>
      <c r="I49" s="586">
        <v>28.24</v>
      </c>
      <c r="J49" s="577">
        <v>28.71</v>
      </c>
      <c r="K49" s="586">
        <v>28.11</v>
      </c>
    </row>
    <row r="50" spans="1:11">
      <c r="A50" s="586" t="s">
        <v>65</v>
      </c>
      <c r="B50" s="586">
        <v>19.75</v>
      </c>
      <c r="C50" s="591">
        <v>19.64</v>
      </c>
      <c r="D50" s="586">
        <v>17.73</v>
      </c>
      <c r="E50" s="586">
        <v>18.86</v>
      </c>
      <c r="F50" s="586">
        <v>19.28</v>
      </c>
      <c r="G50" s="586">
        <v>20.14</v>
      </c>
      <c r="H50" s="586">
        <v>20.69</v>
      </c>
      <c r="I50" s="586">
        <v>19.91</v>
      </c>
      <c r="J50" s="577">
        <v>20.28</v>
      </c>
      <c r="K50" s="586">
        <v>20.329999999999998</v>
      </c>
    </row>
    <row r="51" spans="1:11">
      <c r="A51" s="586" t="s">
        <v>66</v>
      </c>
      <c r="B51" s="586">
        <v>21.64</v>
      </c>
      <c r="C51" s="591">
        <v>21.21</v>
      </c>
      <c r="D51" s="586">
        <v>21.35</v>
      </c>
      <c r="E51" s="586">
        <v>21.89</v>
      </c>
      <c r="F51" s="586">
        <v>21.81</v>
      </c>
      <c r="G51" s="586">
        <v>21.33</v>
      </c>
      <c r="H51" s="586">
        <v>22.54</v>
      </c>
      <c r="I51" s="586">
        <v>22.8</v>
      </c>
      <c r="J51" s="577">
        <v>21.42</v>
      </c>
      <c r="K51" s="586">
        <v>23</v>
      </c>
    </row>
    <row r="52" spans="1:11">
      <c r="C52" s="591"/>
    </row>
    <row r="53" spans="1:11">
      <c r="B53" s="586">
        <f t="shared" ref="B53:K53" si="8">SUM(B43:B51)</f>
        <v>214.95999999999998</v>
      </c>
      <c r="C53" s="586">
        <f t="shared" si="8"/>
        <v>215.91</v>
      </c>
      <c r="D53" s="586">
        <f t="shared" si="8"/>
        <v>207.57999999999998</v>
      </c>
      <c r="E53" s="586">
        <f t="shared" si="8"/>
        <v>211.96999999999997</v>
      </c>
      <c r="F53" s="586">
        <f t="shared" si="8"/>
        <v>214.99999999999997</v>
      </c>
      <c r="G53" s="586">
        <f t="shared" si="8"/>
        <v>212.03999999999996</v>
      </c>
      <c r="H53" s="586">
        <f t="shared" si="8"/>
        <v>217.92999999999998</v>
      </c>
      <c r="I53" s="586">
        <f t="shared" si="8"/>
        <v>213.3</v>
      </c>
      <c r="J53" s="586">
        <f t="shared" si="8"/>
        <v>212.99</v>
      </c>
      <c r="K53" s="586">
        <f t="shared" si="8"/>
        <v>216.89</v>
      </c>
    </row>
    <row r="54" spans="1:11">
      <c r="H54" s="593">
        <f t="shared" ref="H54:K54" si="9">H53/(280*0.9)</f>
        <v>0.86480158730158718</v>
      </c>
      <c r="I54" s="593">
        <f t="shared" si="9"/>
        <v>0.84642857142857142</v>
      </c>
      <c r="J54" s="593">
        <f t="shared" si="9"/>
        <v>0.84519841269841278</v>
      </c>
      <c r="K54" s="593">
        <f t="shared" si="9"/>
        <v>0.86067460317460309</v>
      </c>
    </row>
    <row r="55" spans="1:11">
      <c r="A55" s="586" t="s">
        <v>443</v>
      </c>
      <c r="C55" s="591"/>
    </row>
    <row r="56" spans="1:11">
      <c r="A56" s="586" t="s">
        <v>59</v>
      </c>
      <c r="B56" s="586">
        <v>8.18</v>
      </c>
      <c r="C56" s="591">
        <v>9.73</v>
      </c>
      <c r="D56" s="586">
        <v>9.39</v>
      </c>
      <c r="E56" s="586">
        <v>9.0399999999999991</v>
      </c>
      <c r="F56" s="586">
        <v>8.7200000000000006</v>
      </c>
      <c r="G56" s="586">
        <v>8.74</v>
      </c>
      <c r="H56" s="586">
        <v>9.14</v>
      </c>
      <c r="I56" s="586">
        <v>9.08</v>
      </c>
      <c r="J56" s="586">
        <v>10.78</v>
      </c>
      <c r="K56" s="586">
        <v>10.33</v>
      </c>
    </row>
    <row r="57" spans="1:11">
      <c r="A57" s="592" t="s">
        <v>262</v>
      </c>
      <c r="B57" s="586">
        <v>21.31</v>
      </c>
      <c r="C57" s="591">
        <v>9.86</v>
      </c>
      <c r="D57" s="586">
        <v>22.32</v>
      </c>
      <c r="E57" s="586">
        <v>21.75</v>
      </c>
      <c r="F57" s="586">
        <v>22.7</v>
      </c>
      <c r="G57" s="586">
        <v>21.14</v>
      </c>
      <c r="H57" s="586">
        <v>23.12</v>
      </c>
      <c r="I57" s="586">
        <v>21.99</v>
      </c>
      <c r="J57" s="586">
        <v>23.55</v>
      </c>
      <c r="K57" s="586">
        <v>22.07</v>
      </c>
    </row>
    <row r="58" spans="1:11">
      <c r="A58" s="586" t="s">
        <v>60</v>
      </c>
      <c r="B58" s="586">
        <v>23.14</v>
      </c>
      <c r="C58" s="591">
        <v>23.84</v>
      </c>
      <c r="D58" s="586">
        <v>23.61</v>
      </c>
      <c r="E58" s="586">
        <v>24.31</v>
      </c>
      <c r="F58" s="586">
        <v>24.11</v>
      </c>
      <c r="G58" s="586">
        <v>23.74</v>
      </c>
      <c r="H58" s="586">
        <v>25.27</v>
      </c>
      <c r="I58" s="586">
        <v>24.01</v>
      </c>
      <c r="J58" s="586">
        <v>24.41</v>
      </c>
      <c r="K58" s="586">
        <v>22.75</v>
      </c>
    </row>
    <row r="59" spans="1:11">
      <c r="A59" s="586" t="s">
        <v>61</v>
      </c>
      <c r="B59" s="586">
        <v>24.92</v>
      </c>
      <c r="C59" s="591">
        <v>25.5</v>
      </c>
      <c r="D59" s="586">
        <v>25.46</v>
      </c>
      <c r="E59" s="586">
        <v>25.79</v>
      </c>
      <c r="F59" s="586">
        <v>25.89</v>
      </c>
      <c r="G59" s="586">
        <v>25.82</v>
      </c>
      <c r="H59" s="586">
        <v>26.13</v>
      </c>
      <c r="I59" s="586">
        <v>25.36</v>
      </c>
      <c r="J59" s="586">
        <v>25.79</v>
      </c>
      <c r="K59" s="586">
        <v>25.71</v>
      </c>
    </row>
    <row r="60" spans="1:11">
      <c r="A60" s="586" t="s">
        <v>62</v>
      </c>
      <c r="B60" s="586">
        <v>25.89</v>
      </c>
      <c r="C60" s="591">
        <v>26.73</v>
      </c>
      <c r="D60" s="586">
        <v>26.17</v>
      </c>
      <c r="E60" s="586">
        <v>26.66</v>
      </c>
      <c r="F60" s="586">
        <v>27.8</v>
      </c>
      <c r="G60" s="586">
        <v>27.39</v>
      </c>
      <c r="H60" s="586">
        <v>26.8</v>
      </c>
      <c r="I60" s="586">
        <v>26.15</v>
      </c>
      <c r="J60" s="586">
        <v>26.17</v>
      </c>
      <c r="K60" s="586">
        <v>26.46</v>
      </c>
    </row>
    <row r="61" spans="1:11">
      <c r="A61" s="586" t="s">
        <v>63</v>
      </c>
      <c r="B61" s="586">
        <v>23.9</v>
      </c>
      <c r="C61" s="591">
        <v>25.1</v>
      </c>
      <c r="D61" s="586">
        <v>23.55</v>
      </c>
      <c r="E61" s="586">
        <v>23.48</v>
      </c>
      <c r="F61" s="586">
        <v>23.73</v>
      </c>
      <c r="G61" s="586">
        <v>23.38</v>
      </c>
      <c r="H61" s="586">
        <v>23.57</v>
      </c>
      <c r="I61" s="586">
        <v>23.62</v>
      </c>
      <c r="J61" s="586">
        <v>23.98</v>
      </c>
      <c r="K61" s="586">
        <v>24.5</v>
      </c>
    </row>
    <row r="62" spans="1:11">
      <c r="A62" s="586" t="s">
        <v>64</v>
      </c>
      <c r="B62" s="586">
        <v>23.75</v>
      </c>
      <c r="C62" s="591">
        <v>23.74</v>
      </c>
      <c r="D62" s="586">
        <v>22.61</v>
      </c>
      <c r="E62" s="586">
        <v>22.97</v>
      </c>
      <c r="F62" s="586">
        <v>23.06</v>
      </c>
      <c r="G62" s="586">
        <v>22.6</v>
      </c>
      <c r="H62" s="586">
        <v>22.68</v>
      </c>
      <c r="I62" s="586">
        <v>23.22</v>
      </c>
      <c r="J62" s="586">
        <v>23.51</v>
      </c>
      <c r="K62" s="586">
        <v>23.51</v>
      </c>
    </row>
    <row r="63" spans="1:11">
      <c r="A63" s="586" t="s">
        <v>65</v>
      </c>
      <c r="B63" s="586">
        <v>24.58</v>
      </c>
      <c r="C63" s="591">
        <v>26.58</v>
      </c>
      <c r="D63" s="586">
        <v>26.43</v>
      </c>
      <c r="E63" s="586">
        <v>26.54</v>
      </c>
      <c r="F63" s="586">
        <v>26.32</v>
      </c>
      <c r="G63" s="586">
        <v>26.18</v>
      </c>
      <c r="H63" s="586">
        <v>26.44</v>
      </c>
      <c r="I63" s="586">
        <v>26.4</v>
      </c>
      <c r="J63" s="586">
        <v>26.45</v>
      </c>
      <c r="K63" s="586">
        <v>25.44</v>
      </c>
    </row>
    <row r="64" spans="1:11">
      <c r="A64" s="586" t="s">
        <v>66</v>
      </c>
      <c r="B64" s="586">
        <v>25.8</v>
      </c>
      <c r="C64" s="591">
        <v>27.11</v>
      </c>
      <c r="D64" s="586">
        <v>26.57</v>
      </c>
      <c r="E64" s="586">
        <v>26.56</v>
      </c>
      <c r="F64" s="586">
        <v>26.03</v>
      </c>
      <c r="G64" s="586">
        <v>26.61</v>
      </c>
      <c r="H64" s="586">
        <v>27.54</v>
      </c>
      <c r="I64" s="586">
        <v>26.48</v>
      </c>
      <c r="J64" s="586">
        <v>27.52</v>
      </c>
      <c r="K64" s="586">
        <v>25.9</v>
      </c>
    </row>
    <row r="65" spans="1:11">
      <c r="C65" s="591"/>
    </row>
    <row r="66" spans="1:11">
      <c r="B66" s="586">
        <f t="shared" ref="B66:K66" si="10">SUM(B56:B64)</f>
        <v>201.47000000000003</v>
      </c>
      <c r="C66" s="586">
        <f t="shared" si="10"/>
        <v>198.19000000000005</v>
      </c>
      <c r="D66" s="586">
        <f t="shared" si="10"/>
        <v>206.11</v>
      </c>
      <c r="E66" s="586">
        <f t="shared" si="10"/>
        <v>207.09999999999997</v>
      </c>
      <c r="F66" s="586">
        <f t="shared" si="10"/>
        <v>208.35999999999999</v>
      </c>
      <c r="G66" s="586">
        <f t="shared" si="10"/>
        <v>205.60000000000002</v>
      </c>
      <c r="H66" s="586">
        <f t="shared" si="10"/>
        <v>210.69</v>
      </c>
      <c r="I66" s="586">
        <f t="shared" si="10"/>
        <v>206.31</v>
      </c>
      <c r="J66" s="586">
        <f t="shared" si="10"/>
        <v>212.16</v>
      </c>
      <c r="K66" s="586">
        <f t="shared" si="10"/>
        <v>206.67</v>
      </c>
    </row>
    <row r="67" spans="1:11">
      <c r="C67" s="591"/>
      <c r="H67" s="593">
        <f t="shared" ref="H67:K67" si="11">H66/(280*0.9)</f>
        <v>0.83607142857142858</v>
      </c>
      <c r="I67" s="593">
        <f t="shared" si="11"/>
        <v>0.81869047619047619</v>
      </c>
      <c r="J67" s="593">
        <f t="shared" si="11"/>
        <v>0.84190476190476193</v>
      </c>
      <c r="K67" s="593">
        <f t="shared" si="11"/>
        <v>0.82011904761904753</v>
      </c>
    </row>
    <row r="68" spans="1:11">
      <c r="A68" s="586" t="s">
        <v>449</v>
      </c>
      <c r="C68" s="591"/>
    </row>
    <row r="69" spans="1:11">
      <c r="A69" s="586" t="s">
        <v>59</v>
      </c>
      <c r="B69" s="586">
        <v>11.24</v>
      </c>
      <c r="C69" s="591">
        <v>10.23</v>
      </c>
      <c r="D69" s="586">
        <v>6.56</v>
      </c>
      <c r="E69" s="586">
        <v>8.81</v>
      </c>
      <c r="F69" s="586">
        <v>13.27</v>
      </c>
      <c r="G69" s="586">
        <v>9.61</v>
      </c>
      <c r="H69" s="586">
        <v>10.59</v>
      </c>
      <c r="I69" s="586">
        <v>8.6999999999999993</v>
      </c>
      <c r="J69" s="586">
        <v>8.7100000000000009</v>
      </c>
      <c r="K69" s="586">
        <v>8.93</v>
      </c>
    </row>
    <row r="70" spans="1:11">
      <c r="A70" s="592" t="s">
        <v>262</v>
      </c>
      <c r="B70" s="586">
        <v>19.54</v>
      </c>
      <c r="C70" s="591">
        <v>21.41</v>
      </c>
      <c r="D70" s="586">
        <v>19.440000000000001</v>
      </c>
      <c r="E70" s="586">
        <v>19.68</v>
      </c>
      <c r="F70" s="586">
        <v>21.64</v>
      </c>
      <c r="G70" s="586">
        <v>19.63</v>
      </c>
      <c r="H70" s="586">
        <v>19.96</v>
      </c>
      <c r="I70" s="586">
        <v>19.350000000000001</v>
      </c>
      <c r="J70" s="586">
        <v>21.56</v>
      </c>
      <c r="K70" s="586">
        <v>18.62</v>
      </c>
    </row>
    <row r="71" spans="1:11">
      <c r="A71" s="586" t="s">
        <v>60</v>
      </c>
      <c r="B71" s="586">
        <v>22.03</v>
      </c>
      <c r="C71" s="591">
        <v>23.27</v>
      </c>
      <c r="D71" s="586">
        <v>22.25</v>
      </c>
      <c r="E71" s="586">
        <v>23.06</v>
      </c>
      <c r="F71" s="586">
        <v>22.91</v>
      </c>
      <c r="G71" s="586">
        <v>22.57</v>
      </c>
      <c r="H71" s="586">
        <v>22.87</v>
      </c>
      <c r="I71" s="586">
        <v>22.43</v>
      </c>
      <c r="J71" s="586">
        <v>23.47</v>
      </c>
      <c r="K71" s="586">
        <v>21.53</v>
      </c>
    </row>
    <row r="72" spans="1:11">
      <c r="A72" s="586" t="s">
        <v>61</v>
      </c>
      <c r="B72" s="586">
        <v>22.07</v>
      </c>
      <c r="C72" s="591">
        <v>23.65</v>
      </c>
      <c r="D72" s="586">
        <v>22.01</v>
      </c>
      <c r="E72" s="586">
        <v>23.37</v>
      </c>
      <c r="F72" s="586">
        <v>22.84</v>
      </c>
      <c r="G72" s="586">
        <v>22.77</v>
      </c>
      <c r="H72" s="586">
        <v>22.71</v>
      </c>
      <c r="I72" s="586">
        <v>22.33</v>
      </c>
      <c r="J72" s="586">
        <v>22.99</v>
      </c>
      <c r="K72" s="586">
        <v>21.31</v>
      </c>
    </row>
    <row r="73" spans="1:11">
      <c r="A73" s="586" t="s">
        <v>62</v>
      </c>
      <c r="B73" s="586">
        <v>18.649999999999999</v>
      </c>
      <c r="C73" s="591">
        <v>17.77</v>
      </c>
      <c r="D73" s="586">
        <v>16.87</v>
      </c>
      <c r="E73" s="586">
        <v>16.260000000000002</v>
      </c>
      <c r="F73" s="586">
        <v>15.61</v>
      </c>
      <c r="G73" s="586">
        <v>16.89</v>
      </c>
      <c r="H73" s="586">
        <v>18.95</v>
      </c>
      <c r="I73" s="586">
        <v>17.07</v>
      </c>
      <c r="J73" s="586">
        <v>16.8</v>
      </c>
      <c r="K73" s="586">
        <v>16.5</v>
      </c>
    </row>
    <row r="74" spans="1:11">
      <c r="A74" s="586" t="s">
        <v>63</v>
      </c>
      <c r="B74" s="586">
        <v>10.38</v>
      </c>
      <c r="C74" s="591">
        <v>11</v>
      </c>
      <c r="D74" s="586">
        <v>10.15</v>
      </c>
      <c r="E74" s="586">
        <v>9.77</v>
      </c>
      <c r="F74" s="586">
        <v>9.65</v>
      </c>
      <c r="G74" s="586">
        <v>10.51</v>
      </c>
      <c r="H74" s="586">
        <v>10.38</v>
      </c>
      <c r="I74" s="586">
        <v>10.58</v>
      </c>
      <c r="J74" s="586">
        <v>10.3</v>
      </c>
      <c r="K74" s="586">
        <v>10.119999999999999</v>
      </c>
    </row>
    <row r="75" spans="1:11">
      <c r="A75" s="586" t="s">
        <v>64</v>
      </c>
      <c r="B75" s="586">
        <v>21.85</v>
      </c>
      <c r="C75" s="591">
        <v>9.56</v>
      </c>
      <c r="D75" s="586">
        <v>12.88</v>
      </c>
      <c r="E75" s="586">
        <v>14.53</v>
      </c>
      <c r="F75" s="586">
        <v>15.11</v>
      </c>
      <c r="G75" s="586">
        <v>14.53</v>
      </c>
      <c r="H75" s="586">
        <v>12.51</v>
      </c>
      <c r="I75" s="586">
        <v>13.89</v>
      </c>
      <c r="J75" s="586">
        <v>13.47</v>
      </c>
      <c r="K75" s="586">
        <v>15.77</v>
      </c>
    </row>
    <row r="76" spans="1:11">
      <c r="A76" s="586" t="s">
        <v>65</v>
      </c>
      <c r="C76" s="591">
        <v>22.86</v>
      </c>
      <c r="D76" s="586">
        <v>25.83</v>
      </c>
      <c r="E76" s="586">
        <v>25.35</v>
      </c>
      <c r="F76" s="586">
        <v>25.6</v>
      </c>
      <c r="G76" s="586">
        <v>25.2</v>
      </c>
      <c r="H76" s="586">
        <v>24.05</v>
      </c>
      <c r="I76" s="586">
        <v>24.74</v>
      </c>
      <c r="J76" s="586">
        <v>25.51</v>
      </c>
      <c r="K76" s="586">
        <v>27.35</v>
      </c>
    </row>
    <row r="77" spans="1:11">
      <c r="A77" s="586" t="s">
        <v>66</v>
      </c>
      <c r="C77" s="591">
        <v>30.78</v>
      </c>
      <c r="D77" s="586">
        <v>30.66</v>
      </c>
      <c r="E77" s="586">
        <v>30.11</v>
      </c>
      <c r="F77" s="586">
        <v>29.52</v>
      </c>
      <c r="G77" s="586">
        <v>30.7</v>
      </c>
      <c r="H77" s="586">
        <v>31.19</v>
      </c>
      <c r="I77" s="586">
        <v>30.72</v>
      </c>
      <c r="J77" s="586">
        <v>30.88</v>
      </c>
      <c r="K77" s="586">
        <v>30.37</v>
      </c>
    </row>
    <row r="78" spans="1:11">
      <c r="C78" s="591"/>
    </row>
    <row r="79" spans="1:11">
      <c r="B79" s="586">
        <f>SUM(B69:B77)</f>
        <v>125.75999999999999</v>
      </c>
      <c r="C79" s="586">
        <f t="shared" ref="C79:K79" si="12">SUM(C69:C77)</f>
        <v>170.53</v>
      </c>
      <c r="D79" s="586">
        <f t="shared" si="12"/>
        <v>166.65</v>
      </c>
      <c r="E79" s="586">
        <f t="shared" si="12"/>
        <v>170.94</v>
      </c>
      <c r="F79" s="586">
        <f t="shared" si="12"/>
        <v>176.15</v>
      </c>
      <c r="G79" s="586">
        <f t="shared" si="12"/>
        <v>172.41</v>
      </c>
      <c r="H79" s="586">
        <f t="shared" si="12"/>
        <v>173.21</v>
      </c>
      <c r="I79" s="586">
        <f t="shared" si="12"/>
        <v>169.81</v>
      </c>
      <c r="J79" s="586">
        <f t="shared" si="12"/>
        <v>173.68999999999997</v>
      </c>
      <c r="K79" s="586">
        <f t="shared" si="12"/>
        <v>170.5</v>
      </c>
    </row>
    <row r="80" spans="1:11">
      <c r="C80" s="591"/>
      <c r="H80" s="593">
        <f t="shared" ref="H80:K80" si="13">H79/(280*0.9)</f>
        <v>0.68734126984126986</v>
      </c>
      <c r="I80" s="593">
        <f t="shared" si="13"/>
        <v>0.67384920634920631</v>
      </c>
      <c r="J80" s="593">
        <f t="shared" si="13"/>
        <v>0.68924603174603161</v>
      </c>
      <c r="K80" s="593">
        <f t="shared" si="13"/>
        <v>0.67658730158730163</v>
      </c>
    </row>
    <row r="81" spans="1:11">
      <c r="A81" s="586" t="s">
        <v>484</v>
      </c>
      <c r="C81" s="591"/>
    </row>
    <row r="82" spans="1:11">
      <c r="A82" s="586" t="s">
        <v>59</v>
      </c>
      <c r="C82" s="591">
        <v>28.49</v>
      </c>
      <c r="D82" s="586">
        <v>25.49</v>
      </c>
      <c r="E82" s="586">
        <v>26.89</v>
      </c>
      <c r="F82" s="586">
        <v>24.89</v>
      </c>
      <c r="G82" s="586">
        <v>27.59</v>
      </c>
      <c r="H82" s="586">
        <v>26.06</v>
      </c>
      <c r="I82" s="586">
        <v>27.66</v>
      </c>
      <c r="J82" s="586">
        <v>25.12</v>
      </c>
      <c r="K82" s="586">
        <v>24.22</v>
      </c>
    </row>
    <row r="83" spans="1:11">
      <c r="A83" s="592" t="s">
        <v>262</v>
      </c>
      <c r="C83" s="591">
        <v>23.1</v>
      </c>
      <c r="D83" s="586">
        <v>23.52</v>
      </c>
      <c r="E83" s="586">
        <v>24.05</v>
      </c>
      <c r="F83" s="586">
        <v>25.04</v>
      </c>
      <c r="G83" s="586">
        <v>21.94</v>
      </c>
      <c r="H83" s="586">
        <v>22.03</v>
      </c>
      <c r="I83" s="586">
        <v>22.62</v>
      </c>
      <c r="J83" s="586">
        <v>22.53</v>
      </c>
      <c r="K83" s="590">
        <f>J83</f>
        <v>22.53</v>
      </c>
    </row>
    <row r="84" spans="1:11">
      <c r="A84" s="586" t="s">
        <v>60</v>
      </c>
      <c r="C84" s="591">
        <v>23.1</v>
      </c>
      <c r="D84" s="586">
        <v>23</v>
      </c>
      <c r="E84" s="586">
        <v>22.39</v>
      </c>
      <c r="F84" s="586">
        <v>22.47</v>
      </c>
      <c r="G84" s="586">
        <v>22.31</v>
      </c>
      <c r="H84" s="586">
        <v>21.25</v>
      </c>
      <c r="I84" s="586">
        <v>22.24</v>
      </c>
      <c r="J84" s="586">
        <v>22.02</v>
      </c>
      <c r="K84" s="586">
        <v>22.66</v>
      </c>
    </row>
    <row r="85" spans="1:11">
      <c r="A85" s="586" t="s">
        <v>61</v>
      </c>
      <c r="C85" s="591">
        <v>22.31</v>
      </c>
      <c r="D85" s="586">
        <v>22.54</v>
      </c>
      <c r="E85" s="586">
        <v>22.56</v>
      </c>
      <c r="F85" s="586">
        <v>22.8</v>
      </c>
      <c r="G85" s="586">
        <v>22.22</v>
      </c>
      <c r="H85" s="586">
        <v>22.59</v>
      </c>
      <c r="I85" s="586">
        <v>22.21</v>
      </c>
      <c r="J85" s="586">
        <v>22.13</v>
      </c>
      <c r="K85" s="586">
        <v>21.71</v>
      </c>
    </row>
    <row r="86" spans="1:11">
      <c r="A86" s="586" t="s">
        <v>62</v>
      </c>
      <c r="C86" s="591">
        <v>24.78</v>
      </c>
      <c r="D86" s="586">
        <v>24.59</v>
      </c>
      <c r="E86" s="586">
        <v>23.84</v>
      </c>
      <c r="F86" s="586">
        <v>24.09</v>
      </c>
      <c r="G86" s="586">
        <v>23.99</v>
      </c>
      <c r="H86" s="586">
        <v>23.05</v>
      </c>
      <c r="I86" s="586">
        <v>24.69</v>
      </c>
      <c r="J86" s="586">
        <v>24.51</v>
      </c>
      <c r="K86" s="586">
        <v>24.28</v>
      </c>
    </row>
    <row r="87" spans="1:11">
      <c r="A87" s="586" t="s">
        <v>63</v>
      </c>
      <c r="C87" s="591">
        <v>27</v>
      </c>
      <c r="D87" s="586">
        <v>26.56</v>
      </c>
      <c r="E87" s="586">
        <v>25.99</v>
      </c>
      <c r="F87" s="586">
        <v>26.56</v>
      </c>
      <c r="G87" s="586">
        <v>25.67</v>
      </c>
      <c r="H87" s="586">
        <v>25.32</v>
      </c>
      <c r="I87" s="586">
        <v>26.91</v>
      </c>
      <c r="J87" s="586">
        <v>26.77</v>
      </c>
      <c r="K87" s="586">
        <v>25.84</v>
      </c>
    </row>
    <row r="88" spans="1:11">
      <c r="A88" s="586" t="s">
        <v>64</v>
      </c>
      <c r="C88" s="591">
        <v>29.75</v>
      </c>
      <c r="D88" s="586">
        <v>27.23</v>
      </c>
      <c r="E88" s="586">
        <v>28.83</v>
      </c>
      <c r="F88" s="586">
        <v>26.29</v>
      </c>
      <c r="G88" s="586">
        <v>27.75</v>
      </c>
      <c r="H88" s="586">
        <v>26.63</v>
      </c>
      <c r="I88" s="586">
        <v>31.02</v>
      </c>
      <c r="J88" s="586">
        <v>28.49</v>
      </c>
      <c r="K88" s="586">
        <v>26.66</v>
      </c>
    </row>
    <row r="89" spans="1:11">
      <c r="A89" s="586" t="s">
        <v>65</v>
      </c>
      <c r="C89" s="591">
        <v>29.08</v>
      </c>
      <c r="D89" s="586">
        <v>27.15</v>
      </c>
      <c r="E89" s="586">
        <v>28.24</v>
      </c>
      <c r="F89" s="586">
        <v>28.2</v>
      </c>
      <c r="G89" s="586">
        <v>27.41</v>
      </c>
      <c r="H89" s="586">
        <v>27.29</v>
      </c>
      <c r="I89" s="586">
        <v>29.73</v>
      </c>
      <c r="J89" s="586">
        <v>28.03</v>
      </c>
      <c r="K89" s="586">
        <v>27.92</v>
      </c>
    </row>
    <row r="90" spans="1:11">
      <c r="A90" s="586" t="s">
        <v>66</v>
      </c>
      <c r="C90" s="591">
        <v>27.27</v>
      </c>
      <c r="D90" s="586">
        <v>26.39</v>
      </c>
      <c r="E90" s="586">
        <v>26.28</v>
      </c>
      <c r="F90" s="586">
        <v>27.17</v>
      </c>
      <c r="G90" s="586">
        <v>26.08</v>
      </c>
      <c r="H90" s="586">
        <v>26.45</v>
      </c>
      <c r="I90" s="586">
        <v>27.73</v>
      </c>
      <c r="J90" s="586">
        <v>26.24</v>
      </c>
      <c r="K90" s="586">
        <v>26.79</v>
      </c>
    </row>
    <row r="91" spans="1:11">
      <c r="C91" s="591"/>
    </row>
    <row r="92" spans="1:11">
      <c r="B92" s="586">
        <f>SUM(B82:B90)</f>
        <v>0</v>
      </c>
      <c r="C92" s="586">
        <f t="shared" ref="C92:K92" si="14">SUM(C82:C90)</f>
        <v>234.88000000000002</v>
      </c>
      <c r="D92" s="586">
        <f t="shared" si="14"/>
        <v>226.46999999999997</v>
      </c>
      <c r="E92" s="586">
        <f t="shared" si="14"/>
        <v>229.07000000000002</v>
      </c>
      <c r="F92" s="586">
        <f t="shared" si="14"/>
        <v>227.51</v>
      </c>
      <c r="G92" s="586">
        <f t="shared" si="14"/>
        <v>224.95999999999998</v>
      </c>
      <c r="H92" s="586">
        <f t="shared" si="14"/>
        <v>220.67</v>
      </c>
      <c r="I92" s="586">
        <f t="shared" si="14"/>
        <v>234.80999999999997</v>
      </c>
      <c r="J92" s="586">
        <f t="shared" si="14"/>
        <v>225.84000000000003</v>
      </c>
      <c r="K92" s="586">
        <f t="shared" si="14"/>
        <v>222.60999999999999</v>
      </c>
    </row>
    <row r="93" spans="1:11">
      <c r="C93" s="591"/>
      <c r="H93" s="593">
        <f t="shared" ref="H93:K93" si="15">H92/(280*0.9)</f>
        <v>0.87567460317460311</v>
      </c>
      <c r="I93" s="593">
        <f t="shared" si="15"/>
        <v>0.93178571428571422</v>
      </c>
      <c r="J93" s="593">
        <f t="shared" si="15"/>
        <v>0.89619047619047632</v>
      </c>
      <c r="K93" s="593">
        <f t="shared" si="15"/>
        <v>0.88337301587301587</v>
      </c>
    </row>
    <row r="94" spans="1:11">
      <c r="A94" s="586" t="s">
        <v>478</v>
      </c>
      <c r="C94" s="591"/>
    </row>
    <row r="95" spans="1:11">
      <c r="A95" s="586" t="s">
        <v>59</v>
      </c>
      <c r="C95" s="591">
        <v>28.14</v>
      </c>
      <c r="D95" s="586">
        <v>27.4</v>
      </c>
      <c r="E95" s="586">
        <v>27.64</v>
      </c>
      <c r="F95" s="586">
        <v>27.59</v>
      </c>
      <c r="G95" s="586">
        <v>27.84</v>
      </c>
      <c r="H95" s="586">
        <v>18.04</v>
      </c>
      <c r="I95" s="586">
        <v>25.05</v>
      </c>
      <c r="J95" s="586">
        <v>24.19</v>
      </c>
      <c r="K95" s="586">
        <v>23.36</v>
      </c>
    </row>
    <row r="96" spans="1:11">
      <c r="A96" s="592" t="s">
        <v>262</v>
      </c>
      <c r="C96" s="591">
        <v>24.95</v>
      </c>
      <c r="D96" s="586">
        <v>23.63</v>
      </c>
      <c r="E96" s="586">
        <v>23.79</v>
      </c>
      <c r="F96" s="586">
        <v>23.76</v>
      </c>
      <c r="G96" s="586">
        <v>23.1</v>
      </c>
      <c r="H96" s="586">
        <v>23.59</v>
      </c>
      <c r="I96" s="586">
        <v>23.46</v>
      </c>
      <c r="J96" s="586">
        <v>23.51</v>
      </c>
      <c r="K96" s="586">
        <v>23.31</v>
      </c>
    </row>
    <row r="97" spans="1:11">
      <c r="A97" s="586" t="s">
        <v>60</v>
      </c>
      <c r="C97" s="591">
        <v>22.87</v>
      </c>
      <c r="D97" s="586">
        <v>21.67</v>
      </c>
      <c r="E97" s="586">
        <v>21.91</v>
      </c>
      <c r="F97" s="586">
        <v>22.28</v>
      </c>
      <c r="G97" s="586">
        <v>21.6</v>
      </c>
      <c r="H97" s="586">
        <v>21.67</v>
      </c>
      <c r="I97" s="586">
        <v>21.73</v>
      </c>
      <c r="J97" s="586">
        <v>21.98</v>
      </c>
      <c r="K97" s="586">
        <v>21.6</v>
      </c>
    </row>
    <row r="98" spans="1:11">
      <c r="A98" s="586" t="s">
        <v>61</v>
      </c>
      <c r="C98" s="591">
        <v>22.2</v>
      </c>
      <c r="D98" s="586">
        <v>21.94</v>
      </c>
      <c r="E98" s="586">
        <v>23.12</v>
      </c>
      <c r="F98" s="586">
        <v>23.83</v>
      </c>
      <c r="G98" s="586">
        <v>22.7</v>
      </c>
      <c r="H98" s="586">
        <v>21.98</v>
      </c>
      <c r="I98" s="586">
        <v>22.86</v>
      </c>
      <c r="J98" s="586">
        <v>23.31</v>
      </c>
      <c r="K98" s="586">
        <v>22.63</v>
      </c>
    </row>
    <row r="99" spans="1:11">
      <c r="A99" s="586" t="s">
        <v>62</v>
      </c>
      <c r="C99" s="591">
        <v>24.61</v>
      </c>
      <c r="D99" s="586">
        <v>22.54</v>
      </c>
      <c r="E99" s="586">
        <v>24.63</v>
      </c>
      <c r="F99" s="586">
        <v>23.27</v>
      </c>
      <c r="G99" s="586">
        <v>22.83</v>
      </c>
      <c r="H99" s="586">
        <v>22.54</v>
      </c>
      <c r="I99" s="586">
        <v>23.08</v>
      </c>
      <c r="J99" s="586">
        <v>22.81</v>
      </c>
      <c r="K99" s="586">
        <v>24.48</v>
      </c>
    </row>
    <row r="100" spans="1:11">
      <c r="A100" s="586" t="s">
        <v>63</v>
      </c>
      <c r="C100" s="591">
        <v>23.22</v>
      </c>
      <c r="D100" s="586">
        <v>22.48</v>
      </c>
      <c r="E100" s="586">
        <v>23.84</v>
      </c>
      <c r="F100" s="586">
        <v>22.51</v>
      </c>
      <c r="G100" s="586">
        <v>19.52</v>
      </c>
      <c r="H100" s="586">
        <v>22.84</v>
      </c>
      <c r="I100" s="586">
        <v>24.27</v>
      </c>
      <c r="J100" s="586">
        <v>22.85</v>
      </c>
      <c r="K100" s="586">
        <v>23.32</v>
      </c>
    </row>
    <row r="101" spans="1:11">
      <c r="A101" s="586" t="s">
        <v>64</v>
      </c>
      <c r="C101" s="591">
        <v>17.13</v>
      </c>
      <c r="D101" s="586">
        <v>16.190000000000001</v>
      </c>
      <c r="E101" s="586">
        <v>16.72</v>
      </c>
      <c r="F101" s="586">
        <v>17.309999999999999</v>
      </c>
      <c r="G101" s="586">
        <v>16.09</v>
      </c>
      <c r="H101" s="586">
        <v>16.45</v>
      </c>
      <c r="I101" s="586">
        <v>17.47</v>
      </c>
      <c r="J101" s="586">
        <v>17.09</v>
      </c>
      <c r="K101" s="586">
        <v>17.14</v>
      </c>
    </row>
    <row r="102" spans="1:11">
      <c r="A102" s="586" t="s">
        <v>65</v>
      </c>
      <c r="C102" s="591">
        <v>14.73</v>
      </c>
      <c r="D102" s="594">
        <f>C102</f>
        <v>14.73</v>
      </c>
      <c r="E102" s="586">
        <f>D102</f>
        <v>14.73</v>
      </c>
      <c r="F102" s="586">
        <v>13.95</v>
      </c>
      <c r="G102" s="594">
        <f>F102</f>
        <v>13.95</v>
      </c>
      <c r="H102" s="586">
        <v>14.47</v>
      </c>
      <c r="I102" s="586">
        <v>5.18</v>
      </c>
      <c r="J102" s="586">
        <v>13.47</v>
      </c>
      <c r="K102" s="586">
        <v>13.88</v>
      </c>
    </row>
    <row r="103" spans="1:11">
      <c r="A103" s="586" t="s">
        <v>66</v>
      </c>
      <c r="C103" s="591">
        <v>33.270000000000003</v>
      </c>
      <c r="D103" s="586">
        <v>31.57</v>
      </c>
      <c r="E103" s="586">
        <v>32.369999999999997</v>
      </c>
      <c r="F103" s="586">
        <v>32.619999999999997</v>
      </c>
      <c r="G103" s="586">
        <v>33.590000000000003</v>
      </c>
      <c r="H103" s="586">
        <v>32.729999999999997</v>
      </c>
      <c r="I103" s="586">
        <v>33.61</v>
      </c>
      <c r="J103" s="586">
        <v>33.92</v>
      </c>
      <c r="K103" s="586">
        <v>33.909999999999997</v>
      </c>
    </row>
    <row r="104" spans="1:11">
      <c r="C104" s="591"/>
    </row>
    <row r="105" spans="1:11">
      <c r="B105" s="586">
        <f>SUM(B95:B103)</f>
        <v>0</v>
      </c>
      <c r="C105" s="586">
        <f t="shared" ref="C105:K105" si="16">SUM(C95:C103)</f>
        <v>211.12</v>
      </c>
      <c r="D105" s="586">
        <f t="shared" si="16"/>
        <v>202.14999999999998</v>
      </c>
      <c r="E105" s="586">
        <f t="shared" si="16"/>
        <v>208.75</v>
      </c>
      <c r="F105" s="586">
        <f t="shared" si="16"/>
        <v>207.11999999999998</v>
      </c>
      <c r="G105" s="586">
        <f t="shared" si="16"/>
        <v>201.22</v>
      </c>
      <c r="H105" s="586">
        <f t="shared" si="16"/>
        <v>194.30999999999997</v>
      </c>
      <c r="I105" s="586">
        <f t="shared" si="16"/>
        <v>196.71000000000004</v>
      </c>
      <c r="J105" s="586">
        <f t="shared" si="16"/>
        <v>203.13</v>
      </c>
      <c r="K105" s="586">
        <f t="shared" si="16"/>
        <v>203.63000000000002</v>
      </c>
    </row>
    <row r="106" spans="1:11">
      <c r="C106" s="591"/>
      <c r="H106" s="593">
        <f t="shared" ref="H106:K106" si="17">H105/(280*0.9)</f>
        <v>0.77107142857142852</v>
      </c>
      <c r="I106" s="593">
        <f t="shared" si="17"/>
        <v>0.78059523809523823</v>
      </c>
      <c r="J106" s="593">
        <f t="shared" si="17"/>
        <v>0.80607142857142855</v>
      </c>
      <c r="K106" s="593">
        <f t="shared" si="17"/>
        <v>0.80805555555555564</v>
      </c>
    </row>
    <row r="107" spans="1:11">
      <c r="A107" s="586" t="s">
        <v>472</v>
      </c>
      <c r="C107" s="591"/>
    </row>
    <row r="108" spans="1:11">
      <c r="A108" s="586" t="s">
        <v>59</v>
      </c>
      <c r="C108" s="591">
        <v>27.19</v>
      </c>
      <c r="D108" s="586">
        <v>27.29</v>
      </c>
      <c r="E108" s="586">
        <v>27.44</v>
      </c>
      <c r="F108" s="586">
        <v>26.68</v>
      </c>
      <c r="G108" s="586">
        <v>26.78</v>
      </c>
      <c r="H108" s="586">
        <v>26.57</v>
      </c>
      <c r="I108" s="586">
        <v>18.3</v>
      </c>
      <c r="J108" s="586">
        <v>27.1</v>
      </c>
      <c r="K108" s="586">
        <v>23.79</v>
      </c>
    </row>
    <row r="109" spans="1:11">
      <c r="A109" s="592" t="s">
        <v>262</v>
      </c>
      <c r="C109" s="591">
        <v>25.33</v>
      </c>
      <c r="D109" s="586">
        <v>24.84</v>
      </c>
      <c r="E109" s="586">
        <v>24.37</v>
      </c>
      <c r="F109" s="586">
        <v>23.91</v>
      </c>
      <c r="G109" s="586">
        <v>24.29</v>
      </c>
      <c r="H109" s="586">
        <v>24.03</v>
      </c>
      <c r="I109" s="586">
        <v>22.08</v>
      </c>
      <c r="J109" s="586">
        <v>24.55</v>
      </c>
      <c r="K109" s="586">
        <v>23.98</v>
      </c>
    </row>
    <row r="110" spans="1:11">
      <c r="A110" s="586" t="s">
        <v>60</v>
      </c>
      <c r="C110" s="591">
        <v>24.33</v>
      </c>
      <c r="D110" s="586">
        <v>23.98</v>
      </c>
      <c r="E110" s="586">
        <v>23.03</v>
      </c>
      <c r="F110" s="586">
        <v>24.23</v>
      </c>
      <c r="G110" s="586">
        <v>23.01</v>
      </c>
      <c r="H110" s="586">
        <v>23.3</v>
      </c>
      <c r="I110" s="586">
        <v>23.59</v>
      </c>
      <c r="J110" s="586">
        <v>23.72</v>
      </c>
      <c r="K110" s="586">
        <v>23.39</v>
      </c>
    </row>
    <row r="111" spans="1:11">
      <c r="A111" s="586" t="s">
        <v>61</v>
      </c>
      <c r="C111" s="591">
        <v>21.23</v>
      </c>
      <c r="D111" s="586">
        <v>24.32</v>
      </c>
      <c r="E111" s="586">
        <v>22.77</v>
      </c>
      <c r="F111" s="586">
        <v>24.47</v>
      </c>
      <c r="G111" s="586">
        <v>22.99</v>
      </c>
      <c r="H111" s="586">
        <v>23.89</v>
      </c>
      <c r="I111" s="586">
        <v>23.85</v>
      </c>
      <c r="J111" s="586">
        <v>24.39</v>
      </c>
      <c r="K111" s="586">
        <v>23.78</v>
      </c>
    </row>
    <row r="112" spans="1:11">
      <c r="A112" s="586" t="s">
        <v>62</v>
      </c>
      <c r="C112" s="591">
        <v>25.33</v>
      </c>
      <c r="D112" s="586">
        <v>26.34</v>
      </c>
      <c r="E112" s="586">
        <v>25.02</v>
      </c>
      <c r="F112" s="586">
        <v>26.71</v>
      </c>
      <c r="G112" s="586">
        <v>25.32</v>
      </c>
      <c r="H112" s="586">
        <v>26.39</v>
      </c>
      <c r="I112" s="586">
        <v>25.55</v>
      </c>
      <c r="J112" s="586">
        <v>25.8</v>
      </c>
      <c r="K112" s="586">
        <v>25.61</v>
      </c>
    </row>
    <row r="113" spans="1:11">
      <c r="A113" s="586" t="s">
        <v>63</v>
      </c>
      <c r="C113" s="591">
        <v>26.45</v>
      </c>
      <c r="D113" s="586">
        <v>28.02</v>
      </c>
      <c r="E113" s="586">
        <v>26.42</v>
      </c>
      <c r="F113" s="586">
        <v>26.33</v>
      </c>
      <c r="G113" s="586">
        <v>25.76</v>
      </c>
      <c r="H113" s="586">
        <v>25.89</v>
      </c>
      <c r="I113" s="586">
        <v>25.99</v>
      </c>
      <c r="J113" s="586">
        <v>26.51</v>
      </c>
      <c r="K113" s="586">
        <v>26.54</v>
      </c>
    </row>
    <row r="114" spans="1:11">
      <c r="A114" s="586" t="s">
        <v>64</v>
      </c>
      <c r="C114" s="591">
        <v>24.68</v>
      </c>
      <c r="D114" s="586">
        <v>25.08</v>
      </c>
      <c r="E114" s="586">
        <v>24.22</v>
      </c>
      <c r="F114" s="586">
        <v>24.58</v>
      </c>
      <c r="G114" s="586">
        <v>24.6</v>
      </c>
      <c r="H114" s="586">
        <v>24.31</v>
      </c>
      <c r="I114" s="586">
        <v>24.52</v>
      </c>
      <c r="J114" s="586">
        <v>24.31</v>
      </c>
      <c r="K114" s="586">
        <v>24.67</v>
      </c>
    </row>
    <row r="115" spans="1:11">
      <c r="A115" s="586" t="s">
        <v>65</v>
      </c>
      <c r="C115" s="591">
        <v>25.53</v>
      </c>
      <c r="D115" s="586">
        <v>26.84</v>
      </c>
      <c r="E115" s="586">
        <v>25.61</v>
      </c>
      <c r="F115" s="586">
        <v>26.98</v>
      </c>
      <c r="G115" s="586">
        <v>25.87</v>
      </c>
      <c r="H115" s="586">
        <v>26.24</v>
      </c>
      <c r="I115" s="586">
        <v>25.93</v>
      </c>
      <c r="J115" s="586">
        <v>26.33</v>
      </c>
      <c r="K115" s="586">
        <v>26.28</v>
      </c>
    </row>
    <row r="116" spans="1:11">
      <c r="A116" s="586" t="s">
        <v>66</v>
      </c>
      <c r="C116" s="591">
        <v>25.11</v>
      </c>
      <c r="D116" s="586">
        <v>24.91</v>
      </c>
      <c r="E116" s="586">
        <v>24.44</v>
      </c>
      <c r="F116" s="586">
        <v>25.57</v>
      </c>
      <c r="G116" s="586">
        <v>24.57</v>
      </c>
      <c r="H116" s="586">
        <v>25.28</v>
      </c>
      <c r="I116" s="586">
        <v>24.7</v>
      </c>
      <c r="J116" s="586">
        <v>24.74</v>
      </c>
      <c r="K116" s="586">
        <v>24.89</v>
      </c>
    </row>
    <row r="117" spans="1:11">
      <c r="C117" s="591"/>
    </row>
    <row r="118" spans="1:11">
      <c r="B118" s="586">
        <f>SUM(B108:B116)</f>
        <v>0</v>
      </c>
      <c r="C118" s="586">
        <f t="shared" ref="C118:K118" si="18">SUM(C108:C116)</f>
        <v>225.18</v>
      </c>
      <c r="D118" s="586">
        <f t="shared" si="18"/>
        <v>231.62</v>
      </c>
      <c r="E118" s="586">
        <f t="shared" si="18"/>
        <v>223.32</v>
      </c>
      <c r="F118" s="586">
        <f t="shared" si="18"/>
        <v>229.45999999999995</v>
      </c>
      <c r="G118" s="586">
        <f t="shared" si="18"/>
        <v>223.18999999999997</v>
      </c>
      <c r="H118" s="586">
        <f t="shared" si="18"/>
        <v>225.9</v>
      </c>
      <c r="I118" s="586">
        <f t="shared" si="18"/>
        <v>214.51</v>
      </c>
      <c r="J118" s="586">
        <f t="shared" si="18"/>
        <v>227.45</v>
      </c>
      <c r="K118" s="586">
        <f t="shared" si="18"/>
        <v>222.93</v>
      </c>
    </row>
    <row r="119" spans="1:11">
      <c r="C119" s="591"/>
      <c r="H119" s="593">
        <f t="shared" ref="H119:K119" si="19">H118/(280*0.9)</f>
        <v>0.89642857142857146</v>
      </c>
      <c r="I119" s="593">
        <f t="shared" si="19"/>
        <v>0.85123015873015873</v>
      </c>
      <c r="J119" s="593">
        <f t="shared" si="19"/>
        <v>0.90257936507936498</v>
      </c>
      <c r="K119" s="593">
        <f t="shared" si="19"/>
        <v>0.88464285714285718</v>
      </c>
    </row>
    <row r="120" spans="1:11">
      <c r="A120" s="586" t="s">
        <v>467</v>
      </c>
      <c r="C120" s="591"/>
    </row>
    <row r="121" spans="1:11">
      <c r="A121" s="586" t="s">
        <v>59</v>
      </c>
      <c r="C121" s="591">
        <v>27.41</v>
      </c>
      <c r="D121" s="586">
        <v>26.47</v>
      </c>
      <c r="E121" s="586">
        <v>27.66</v>
      </c>
      <c r="F121" s="586">
        <v>27.41</v>
      </c>
      <c r="G121" s="586">
        <v>26.41</v>
      </c>
      <c r="H121" s="586">
        <v>27.25</v>
      </c>
      <c r="I121" s="586">
        <v>23.45</v>
      </c>
      <c r="J121" s="586">
        <v>25.89</v>
      </c>
      <c r="K121" s="586">
        <v>25.29</v>
      </c>
    </row>
    <row r="122" spans="1:11">
      <c r="A122" s="592" t="s">
        <v>262</v>
      </c>
      <c r="C122" s="591">
        <v>24.45</v>
      </c>
      <c r="D122" s="586">
        <v>24.13</v>
      </c>
      <c r="E122" s="586">
        <v>24.48</v>
      </c>
      <c r="F122" s="586">
        <v>24.42</v>
      </c>
      <c r="G122" s="586">
        <v>23.96</v>
      </c>
      <c r="H122" s="586">
        <v>23.48</v>
      </c>
      <c r="I122" s="586">
        <v>23.47</v>
      </c>
      <c r="J122" s="586">
        <v>23.5</v>
      </c>
      <c r="K122" s="586">
        <v>22.5</v>
      </c>
    </row>
    <row r="123" spans="1:11">
      <c r="A123" s="586" t="s">
        <v>60</v>
      </c>
      <c r="C123" s="591">
        <v>23.7</v>
      </c>
      <c r="D123" s="586">
        <v>23.7</v>
      </c>
      <c r="E123" s="586">
        <v>23.49</v>
      </c>
      <c r="F123" s="586">
        <v>23.07</v>
      </c>
      <c r="G123" s="586">
        <v>23.65</v>
      </c>
      <c r="H123" s="586">
        <v>22.89</v>
      </c>
      <c r="I123" s="586">
        <v>23.71</v>
      </c>
      <c r="J123" s="586">
        <v>23.34</v>
      </c>
      <c r="K123" s="586">
        <v>23.37</v>
      </c>
    </row>
    <row r="124" spans="1:11">
      <c r="A124" s="586" t="s">
        <v>61</v>
      </c>
      <c r="C124" s="591">
        <v>23.24</v>
      </c>
      <c r="D124" s="586">
        <v>22.78</v>
      </c>
      <c r="E124" s="586">
        <v>23.23</v>
      </c>
      <c r="F124" s="586">
        <v>22.21</v>
      </c>
      <c r="G124" s="586">
        <v>23.66</v>
      </c>
      <c r="H124" s="586">
        <v>22.85</v>
      </c>
      <c r="I124" s="586">
        <v>23.7</v>
      </c>
      <c r="J124" s="586">
        <v>23.21</v>
      </c>
      <c r="K124" s="586">
        <v>23.8</v>
      </c>
    </row>
    <row r="125" spans="1:11">
      <c r="A125" s="586" t="s">
        <v>62</v>
      </c>
      <c r="C125" s="591">
        <v>23.78</v>
      </c>
      <c r="D125" s="586">
        <v>23.64</v>
      </c>
      <c r="E125" s="586">
        <v>23.36</v>
      </c>
      <c r="F125" s="586">
        <v>24.08</v>
      </c>
      <c r="G125" s="586">
        <v>23.75</v>
      </c>
      <c r="H125" s="586">
        <v>23.69</v>
      </c>
      <c r="I125" s="586">
        <v>23.6</v>
      </c>
      <c r="J125" s="586">
        <v>23.95</v>
      </c>
      <c r="K125" s="586">
        <v>23.69</v>
      </c>
    </row>
    <row r="126" spans="1:11">
      <c r="A126" s="586" t="s">
        <v>63</v>
      </c>
      <c r="C126" s="591">
        <v>25.16</v>
      </c>
      <c r="D126" s="586">
        <v>25.28</v>
      </c>
      <c r="E126" s="586">
        <v>25.17</v>
      </c>
      <c r="F126" s="586">
        <v>25.66</v>
      </c>
      <c r="G126" s="586">
        <v>24.38</v>
      </c>
      <c r="H126" s="586">
        <v>25.26</v>
      </c>
      <c r="I126" s="586">
        <v>24.58</v>
      </c>
      <c r="J126" s="586">
        <v>25.19</v>
      </c>
      <c r="K126" s="586">
        <v>25.93</v>
      </c>
    </row>
    <row r="127" spans="1:11">
      <c r="A127" s="586" t="s">
        <v>64</v>
      </c>
      <c r="C127" s="591">
        <v>27.92</v>
      </c>
      <c r="D127" s="586">
        <v>27.43</v>
      </c>
      <c r="E127" s="586">
        <v>28.72</v>
      </c>
      <c r="F127" s="586">
        <v>28.41</v>
      </c>
      <c r="G127" s="586">
        <v>27.54</v>
      </c>
      <c r="H127" s="586">
        <v>27.11</v>
      </c>
      <c r="I127" s="586">
        <v>27.37</v>
      </c>
      <c r="J127" s="586">
        <v>28.44</v>
      </c>
      <c r="K127" s="586">
        <v>28.86</v>
      </c>
    </row>
    <row r="128" spans="1:11">
      <c r="A128" s="586" t="s">
        <v>65</v>
      </c>
      <c r="C128" s="591">
        <v>27.81</v>
      </c>
      <c r="D128" s="586">
        <v>27.79</v>
      </c>
      <c r="E128" s="586">
        <v>28.05</v>
      </c>
      <c r="F128" s="586">
        <v>28.24</v>
      </c>
      <c r="G128" s="586">
        <v>27.76</v>
      </c>
      <c r="H128" s="586">
        <v>27.47</v>
      </c>
      <c r="I128" s="586">
        <v>27.74</v>
      </c>
      <c r="J128" s="586">
        <v>28.3</v>
      </c>
      <c r="K128" s="586">
        <v>28.67</v>
      </c>
    </row>
    <row r="129" spans="1:11">
      <c r="A129" s="586" t="s">
        <v>66</v>
      </c>
      <c r="C129" s="591">
        <v>27.7</v>
      </c>
      <c r="D129" s="586">
        <v>27.34</v>
      </c>
      <c r="E129" s="586">
        <v>27.94</v>
      </c>
      <c r="F129" s="586">
        <v>27.88</v>
      </c>
      <c r="G129" s="586">
        <v>26.99</v>
      </c>
      <c r="H129" s="586">
        <v>27.18</v>
      </c>
      <c r="I129" s="586">
        <v>27.28</v>
      </c>
      <c r="J129" s="586">
        <v>27.93</v>
      </c>
      <c r="K129" s="586">
        <v>27.64</v>
      </c>
    </row>
    <row r="130" spans="1:11">
      <c r="C130" s="591"/>
    </row>
    <row r="131" spans="1:11">
      <c r="B131" s="586">
        <f>SUM(B121:B129)</f>
        <v>0</v>
      </c>
      <c r="C131" s="586">
        <f t="shared" ref="C131:K131" si="20">SUM(C121:C129)</f>
        <v>231.17000000000002</v>
      </c>
      <c r="D131" s="586">
        <f t="shared" si="20"/>
        <v>228.56</v>
      </c>
      <c r="E131" s="586">
        <f t="shared" si="20"/>
        <v>232.1</v>
      </c>
      <c r="F131" s="586">
        <f t="shared" si="20"/>
        <v>231.38000000000002</v>
      </c>
      <c r="G131" s="586">
        <f t="shared" si="20"/>
        <v>228.1</v>
      </c>
      <c r="H131" s="586">
        <f t="shared" si="20"/>
        <v>227.17999999999998</v>
      </c>
      <c r="I131" s="586">
        <f t="shared" si="20"/>
        <v>224.9</v>
      </c>
      <c r="J131" s="586">
        <f t="shared" si="20"/>
        <v>229.75000000000003</v>
      </c>
      <c r="K131" s="586">
        <f t="shared" si="20"/>
        <v>229.75</v>
      </c>
    </row>
    <row r="132" spans="1:11">
      <c r="C132" s="591"/>
      <c r="H132" s="593">
        <f t="shared" ref="H132:K132" si="21">H131/(280*0.9)</f>
        <v>0.90150793650793637</v>
      </c>
      <c r="I132" s="593">
        <f t="shared" si="21"/>
        <v>0.89246031746031751</v>
      </c>
      <c r="J132" s="593">
        <f t="shared" si="21"/>
        <v>0.9117063492063493</v>
      </c>
      <c r="K132" s="593">
        <f t="shared" si="21"/>
        <v>0.91170634920634919</v>
      </c>
    </row>
    <row r="133" spans="1:11">
      <c r="A133" s="586" t="s">
        <v>460</v>
      </c>
      <c r="C133" s="591"/>
    </row>
    <row r="134" spans="1:11">
      <c r="A134" s="586" t="s">
        <v>59</v>
      </c>
      <c r="C134" s="591">
        <v>20.84</v>
      </c>
      <c r="D134" s="586">
        <v>18.68</v>
      </c>
      <c r="E134" s="586">
        <v>15</v>
      </c>
      <c r="F134" s="586">
        <v>10.68</v>
      </c>
      <c r="G134" s="586">
        <v>12.89</v>
      </c>
      <c r="H134" s="586">
        <v>21.88</v>
      </c>
      <c r="I134" s="586">
        <v>13.81</v>
      </c>
      <c r="J134" s="586">
        <v>10.210000000000001</v>
      </c>
      <c r="K134" s="586">
        <v>9.19</v>
      </c>
    </row>
    <row r="135" spans="1:11">
      <c r="A135" s="592" t="s">
        <v>262</v>
      </c>
      <c r="C135" s="591">
        <v>22.95</v>
      </c>
      <c r="D135" s="586">
        <v>21.11</v>
      </c>
      <c r="E135" s="586">
        <v>21.5</v>
      </c>
      <c r="F135" s="586">
        <v>21.4</v>
      </c>
      <c r="G135" s="586">
        <v>19.940000000000001</v>
      </c>
      <c r="H135" s="586">
        <v>22.36</v>
      </c>
      <c r="I135" s="586">
        <v>21.92</v>
      </c>
      <c r="J135" s="586">
        <v>20.25</v>
      </c>
      <c r="K135" s="586">
        <v>19.940000000000001</v>
      </c>
    </row>
    <row r="136" spans="1:11">
      <c r="A136" s="586" t="s">
        <v>60</v>
      </c>
      <c r="C136" s="591">
        <v>23.38</v>
      </c>
      <c r="D136" s="586">
        <v>22.33</v>
      </c>
      <c r="E136" s="586">
        <v>22.28</v>
      </c>
      <c r="F136" s="586">
        <v>22.24</v>
      </c>
      <c r="G136" s="586">
        <v>22.41</v>
      </c>
      <c r="H136" s="586">
        <v>22.43</v>
      </c>
      <c r="I136" s="586">
        <v>22.05</v>
      </c>
      <c r="J136" s="586">
        <v>23.07</v>
      </c>
      <c r="K136" s="586">
        <v>21.46</v>
      </c>
    </row>
    <row r="137" spans="1:11">
      <c r="A137" s="586" t="s">
        <v>61</v>
      </c>
      <c r="C137" s="591">
        <v>23.06</v>
      </c>
      <c r="D137" s="586">
        <v>22.49</v>
      </c>
      <c r="E137" s="586">
        <v>22.43</v>
      </c>
      <c r="F137" s="586">
        <v>22.4</v>
      </c>
      <c r="G137" s="586">
        <v>22.92</v>
      </c>
      <c r="H137" s="586">
        <v>22.82</v>
      </c>
      <c r="I137" s="586">
        <v>22.81</v>
      </c>
      <c r="J137" s="586">
        <v>23.17</v>
      </c>
      <c r="K137" s="586">
        <v>22.32</v>
      </c>
    </row>
    <row r="138" spans="1:11">
      <c r="A138" s="586" t="s">
        <v>62</v>
      </c>
      <c r="C138" s="591">
        <v>22.77</v>
      </c>
      <c r="D138" s="586">
        <v>22.07</v>
      </c>
      <c r="E138" s="586">
        <v>21.44</v>
      </c>
      <c r="F138" s="586">
        <v>21.59</v>
      </c>
      <c r="G138" s="586">
        <v>22.06</v>
      </c>
      <c r="H138" s="586">
        <v>21.98</v>
      </c>
      <c r="I138" s="586">
        <v>22.4</v>
      </c>
      <c r="J138" s="586">
        <v>22.18</v>
      </c>
      <c r="K138" s="586">
        <v>21.41</v>
      </c>
    </row>
    <row r="139" spans="1:11">
      <c r="A139" s="586" t="s">
        <v>63</v>
      </c>
      <c r="C139" s="591">
        <v>23.53</v>
      </c>
      <c r="D139" s="586">
        <v>23.81</v>
      </c>
      <c r="E139" s="586">
        <v>23.19</v>
      </c>
      <c r="F139" s="586">
        <v>23.63</v>
      </c>
      <c r="G139" s="586">
        <v>24.29</v>
      </c>
      <c r="H139" s="586">
        <v>23.65</v>
      </c>
      <c r="I139" s="586">
        <v>24.11</v>
      </c>
      <c r="J139" s="586">
        <v>24.3</v>
      </c>
      <c r="K139" s="586">
        <v>23.97</v>
      </c>
    </row>
    <row r="140" spans="1:11">
      <c r="A140" s="586" t="s">
        <v>64</v>
      </c>
      <c r="C140" s="591">
        <v>23.16</v>
      </c>
      <c r="D140" s="586">
        <v>24.82</v>
      </c>
      <c r="E140" s="586">
        <v>24.39</v>
      </c>
      <c r="F140" s="586">
        <v>23.99</v>
      </c>
      <c r="G140" s="586">
        <v>24.29</v>
      </c>
      <c r="H140" s="586">
        <v>24.58</v>
      </c>
      <c r="I140" s="586">
        <v>23.41</v>
      </c>
      <c r="J140" s="586">
        <v>23.86</v>
      </c>
      <c r="K140" s="586">
        <v>22.56</v>
      </c>
    </row>
    <row r="141" spans="1:11">
      <c r="A141" s="586" t="s">
        <v>65</v>
      </c>
      <c r="C141" s="591">
        <v>20.79</v>
      </c>
      <c r="D141" s="586">
        <v>19.100000000000001</v>
      </c>
      <c r="E141" s="586">
        <v>20.48</v>
      </c>
      <c r="F141" s="586">
        <v>19.670000000000002</v>
      </c>
      <c r="G141" s="586">
        <v>20.55</v>
      </c>
      <c r="H141" s="586">
        <v>20.12</v>
      </c>
      <c r="I141" s="586">
        <v>20.34</v>
      </c>
      <c r="J141" s="586">
        <v>20.03</v>
      </c>
      <c r="K141" s="586">
        <v>20.260000000000002</v>
      </c>
    </row>
    <row r="142" spans="1:11">
      <c r="A142" s="586" t="s">
        <v>66</v>
      </c>
      <c r="C142" s="591">
        <v>20.62</v>
      </c>
      <c r="D142" s="586">
        <v>20.399999999999999</v>
      </c>
      <c r="E142" s="586">
        <v>21.03</v>
      </c>
      <c r="F142" s="586">
        <v>20.38</v>
      </c>
      <c r="G142" s="586">
        <v>20.74</v>
      </c>
      <c r="H142" s="586">
        <v>21.22</v>
      </c>
      <c r="I142" s="586">
        <v>21.74</v>
      </c>
      <c r="J142" s="586">
        <v>21.7</v>
      </c>
      <c r="K142" s="586">
        <v>20.8</v>
      </c>
    </row>
    <row r="143" spans="1:11">
      <c r="C143" s="591"/>
    </row>
    <row r="144" spans="1:11">
      <c r="B144" s="586">
        <f>SUM(B134:B142)</f>
        <v>0</v>
      </c>
      <c r="C144" s="586">
        <f t="shared" ref="C144:K144" si="22">SUM(C134:C142)</f>
        <v>201.1</v>
      </c>
      <c r="D144" s="586">
        <f t="shared" si="22"/>
        <v>194.81</v>
      </c>
      <c r="E144" s="586">
        <f t="shared" si="22"/>
        <v>191.74</v>
      </c>
      <c r="F144" s="586">
        <f t="shared" si="22"/>
        <v>185.98000000000002</v>
      </c>
      <c r="G144" s="586">
        <f t="shared" si="22"/>
        <v>190.09</v>
      </c>
      <c r="H144" s="586">
        <f t="shared" si="22"/>
        <v>201.04</v>
      </c>
      <c r="I144" s="586">
        <f t="shared" si="22"/>
        <v>192.59000000000003</v>
      </c>
      <c r="J144" s="586">
        <f t="shared" si="22"/>
        <v>188.76999999999998</v>
      </c>
      <c r="K144" s="586">
        <f t="shared" si="22"/>
        <v>181.91</v>
      </c>
    </row>
    <row r="145" spans="1:11">
      <c r="C145" s="591"/>
      <c r="F145" s="593">
        <f>F144/(280*0.9)</f>
        <v>0.73801587301587313</v>
      </c>
      <c r="H145" s="593">
        <f t="shared" ref="H145:K145" si="23">H144/(280*0.9)</f>
        <v>0.7977777777777777</v>
      </c>
      <c r="I145" s="593">
        <f t="shared" si="23"/>
        <v>0.7642460317460319</v>
      </c>
      <c r="J145" s="593">
        <f t="shared" si="23"/>
        <v>0.74908730158730152</v>
      </c>
      <c r="K145" s="593">
        <f t="shared" si="23"/>
        <v>0.72186507936507938</v>
      </c>
    </row>
    <row r="146" spans="1:11">
      <c r="A146" s="586" t="s">
        <v>454</v>
      </c>
      <c r="C146" s="591"/>
    </row>
    <row r="147" spans="1:11">
      <c r="A147" s="586" t="s">
        <v>59</v>
      </c>
      <c r="C147" s="591">
        <v>25.15</v>
      </c>
      <c r="D147" s="586">
        <v>25.02</v>
      </c>
      <c r="E147" s="586">
        <v>15.93</v>
      </c>
      <c r="F147" s="586">
        <v>18.54</v>
      </c>
      <c r="G147" s="586">
        <v>15.1</v>
      </c>
      <c r="H147" s="586">
        <v>18.8</v>
      </c>
      <c r="I147" s="586">
        <v>21.57</v>
      </c>
      <c r="J147" s="586">
        <v>17.43</v>
      </c>
      <c r="K147" s="586">
        <v>18.23</v>
      </c>
    </row>
    <row r="148" spans="1:11">
      <c r="A148" s="592" t="s">
        <v>262</v>
      </c>
      <c r="C148" s="591">
        <v>24.04</v>
      </c>
      <c r="D148" s="586">
        <v>23.6</v>
      </c>
      <c r="E148" s="586">
        <v>22.19</v>
      </c>
      <c r="F148" s="586">
        <v>21.74</v>
      </c>
      <c r="G148" s="586">
        <v>23.32</v>
      </c>
      <c r="H148" s="586">
        <v>22.21</v>
      </c>
      <c r="I148" s="586">
        <v>23.12</v>
      </c>
      <c r="J148" s="586">
        <v>20.74</v>
      </c>
      <c r="K148" s="586">
        <v>22.91</v>
      </c>
    </row>
    <row r="149" spans="1:11">
      <c r="A149" s="586" t="s">
        <v>60</v>
      </c>
      <c r="C149" s="591">
        <v>24.17</v>
      </c>
      <c r="D149" s="586">
        <v>23.85</v>
      </c>
      <c r="E149" s="586">
        <v>23.78</v>
      </c>
      <c r="F149" s="586">
        <v>23.68</v>
      </c>
      <c r="G149" s="586">
        <v>23.55</v>
      </c>
      <c r="H149" s="586">
        <v>23.33</v>
      </c>
      <c r="I149" s="586">
        <v>23.4</v>
      </c>
      <c r="J149" s="586">
        <v>22.56</v>
      </c>
      <c r="K149" s="586">
        <v>23.69</v>
      </c>
    </row>
    <row r="150" spans="1:11">
      <c r="A150" s="586" t="s">
        <v>61</v>
      </c>
      <c r="C150" s="591">
        <v>23.33</v>
      </c>
      <c r="D150" s="586">
        <v>23.82</v>
      </c>
      <c r="E150" s="586">
        <v>23.79</v>
      </c>
      <c r="F150" s="586">
        <v>23.78</v>
      </c>
      <c r="G150" s="586">
        <v>23.6</v>
      </c>
      <c r="H150" s="586">
        <v>23.16</v>
      </c>
      <c r="I150" s="586">
        <v>24.07</v>
      </c>
      <c r="J150" s="586">
        <v>23.92</v>
      </c>
      <c r="K150" s="586">
        <v>24</v>
      </c>
    </row>
    <row r="151" spans="1:11">
      <c r="A151" s="586" t="s">
        <v>62</v>
      </c>
      <c r="C151" s="591">
        <v>24.17</v>
      </c>
      <c r="D151" s="586">
        <v>24.07</v>
      </c>
      <c r="E151" s="586">
        <v>23.83</v>
      </c>
      <c r="F151" s="586">
        <v>24.23</v>
      </c>
      <c r="G151" s="586">
        <v>23.54</v>
      </c>
      <c r="H151" s="586">
        <v>23.22</v>
      </c>
      <c r="I151" s="586">
        <v>24.84</v>
      </c>
      <c r="J151" s="586">
        <v>25.23</v>
      </c>
      <c r="K151" s="586">
        <v>25.61</v>
      </c>
    </row>
    <row r="152" spans="1:11">
      <c r="A152" s="586" t="s">
        <v>63</v>
      </c>
      <c r="C152" s="591">
        <v>26.14</v>
      </c>
      <c r="D152" s="586">
        <v>25.51</v>
      </c>
      <c r="E152" s="586">
        <v>24.94</v>
      </c>
      <c r="F152" s="586">
        <v>25.17</v>
      </c>
      <c r="G152" s="586">
        <v>24.42</v>
      </c>
      <c r="H152" s="586">
        <v>24.87</v>
      </c>
      <c r="I152" s="586">
        <v>26.48</v>
      </c>
      <c r="J152" s="586">
        <v>26.58</v>
      </c>
      <c r="K152" s="586">
        <v>26.53</v>
      </c>
    </row>
    <row r="153" spans="1:11">
      <c r="A153" s="586" t="s">
        <v>64</v>
      </c>
      <c r="C153" s="591">
        <v>23.33</v>
      </c>
      <c r="D153" s="586">
        <v>23.53</v>
      </c>
      <c r="E153" s="586">
        <v>23.38</v>
      </c>
      <c r="F153" s="586">
        <v>23.36</v>
      </c>
      <c r="G153" s="586">
        <v>22.68</v>
      </c>
      <c r="H153" s="586">
        <v>23.37</v>
      </c>
      <c r="I153" s="586">
        <v>24.28</v>
      </c>
      <c r="J153" s="586">
        <v>24.24</v>
      </c>
      <c r="K153" s="586">
        <v>24.32</v>
      </c>
    </row>
    <row r="154" spans="1:11">
      <c r="A154" s="586" t="s">
        <v>65</v>
      </c>
      <c r="C154" s="591">
        <v>17.739999999999998</v>
      </c>
      <c r="D154" s="586">
        <v>17.82</v>
      </c>
      <c r="E154" s="586">
        <v>17.739999999999998</v>
      </c>
      <c r="F154" s="586">
        <v>17.940000000000001</v>
      </c>
      <c r="G154" s="586">
        <v>17.98</v>
      </c>
      <c r="H154" s="586">
        <v>17.84</v>
      </c>
      <c r="I154" s="586">
        <v>17.77</v>
      </c>
      <c r="J154" s="586">
        <v>17.77</v>
      </c>
      <c r="K154" s="586">
        <v>20.350000000000001</v>
      </c>
    </row>
    <row r="155" spans="1:11">
      <c r="A155" s="586" t="s">
        <v>66</v>
      </c>
      <c r="C155" s="591">
        <v>16.329999999999998</v>
      </c>
      <c r="D155" s="586">
        <v>16</v>
      </c>
      <c r="E155" s="586">
        <v>15.7</v>
      </c>
      <c r="F155" s="586">
        <v>15.94</v>
      </c>
      <c r="G155" s="586">
        <v>14.87</v>
      </c>
      <c r="H155" s="586">
        <v>15.82</v>
      </c>
      <c r="I155" s="586">
        <v>16.309999999999999</v>
      </c>
      <c r="J155" s="586">
        <v>16.34</v>
      </c>
      <c r="K155" s="586">
        <v>15.52</v>
      </c>
    </row>
    <row r="156" spans="1:11">
      <c r="C156" s="591"/>
    </row>
    <row r="157" spans="1:11">
      <c r="B157" s="586">
        <f>SUM(B147:B155)</f>
        <v>0</v>
      </c>
      <c r="C157" s="586">
        <f t="shared" ref="C157:K157" si="24">SUM(C147:C155)</f>
        <v>204.39999999999998</v>
      </c>
      <c r="D157" s="586">
        <f t="shared" si="24"/>
        <v>203.21999999999997</v>
      </c>
      <c r="E157" s="586">
        <f t="shared" si="24"/>
        <v>191.28</v>
      </c>
      <c r="F157" s="586">
        <f t="shared" si="24"/>
        <v>194.38</v>
      </c>
      <c r="G157" s="586">
        <f t="shared" si="24"/>
        <v>189.05999999999997</v>
      </c>
      <c r="H157" s="586">
        <f t="shared" si="24"/>
        <v>192.62</v>
      </c>
      <c r="I157" s="586">
        <f t="shared" si="24"/>
        <v>201.84</v>
      </c>
      <c r="J157" s="586">
        <f t="shared" si="24"/>
        <v>194.81000000000003</v>
      </c>
      <c r="K157" s="586">
        <f t="shared" si="24"/>
        <v>201.16</v>
      </c>
    </row>
    <row r="158" spans="1:11">
      <c r="C158" s="591"/>
      <c r="F158" s="593">
        <f>F157/(280*0.9)</f>
        <v>0.77134920634920634</v>
      </c>
      <c r="H158" s="593">
        <f t="shared" ref="H158:K158" si="25">H157/(280*0.9)</f>
        <v>0.76436507936507936</v>
      </c>
      <c r="I158" s="593">
        <f t="shared" si="25"/>
        <v>0.80095238095238097</v>
      </c>
      <c r="J158" s="593">
        <f t="shared" si="25"/>
        <v>0.77305555555555572</v>
      </c>
      <c r="K158" s="593">
        <f t="shared" si="25"/>
        <v>0.79825396825396822</v>
      </c>
    </row>
    <row r="159" spans="1:11">
      <c r="A159" s="586" t="s">
        <v>489</v>
      </c>
      <c r="C159" s="591"/>
    </row>
    <row r="160" spans="1:11">
      <c r="A160" s="586" t="s">
        <v>59</v>
      </c>
      <c r="C160" s="591">
        <v>14.76</v>
      </c>
      <c r="D160" s="586">
        <v>10.88</v>
      </c>
      <c r="E160" s="586">
        <v>9.1</v>
      </c>
      <c r="F160" s="586">
        <v>7.48</v>
      </c>
      <c r="G160" s="586">
        <v>12.79</v>
      </c>
      <c r="H160" s="586">
        <v>11.88</v>
      </c>
      <c r="I160" s="586">
        <v>8.17</v>
      </c>
      <c r="J160" s="586">
        <v>8.23</v>
      </c>
      <c r="K160" s="586">
        <v>8.74</v>
      </c>
    </row>
    <row r="161" spans="1:11">
      <c r="A161" s="592" t="s">
        <v>262</v>
      </c>
      <c r="C161" s="591">
        <v>17.72</v>
      </c>
      <c r="D161" s="586">
        <v>17</v>
      </c>
      <c r="E161" s="586">
        <v>17.91</v>
      </c>
      <c r="F161" s="586">
        <v>17.73</v>
      </c>
      <c r="G161" s="586">
        <v>18.2</v>
      </c>
      <c r="H161" s="586">
        <v>16.7</v>
      </c>
      <c r="I161" s="586">
        <v>16.38</v>
      </c>
      <c r="J161" s="586">
        <v>15.98</v>
      </c>
      <c r="K161" s="586">
        <v>15.73</v>
      </c>
    </row>
    <row r="162" spans="1:11">
      <c r="A162" s="586" t="s">
        <v>60</v>
      </c>
      <c r="C162" s="591">
        <v>21.2</v>
      </c>
      <c r="D162" s="586">
        <v>20.98</v>
      </c>
      <c r="E162" s="586">
        <v>21.35</v>
      </c>
      <c r="F162" s="586">
        <v>24.03</v>
      </c>
      <c r="G162" s="586">
        <v>21.96</v>
      </c>
      <c r="H162" s="586">
        <v>20.98</v>
      </c>
      <c r="I162" s="586">
        <v>21.62</v>
      </c>
      <c r="J162" s="586">
        <v>20.260000000000002</v>
      </c>
      <c r="K162" s="586">
        <v>20.53</v>
      </c>
    </row>
    <row r="163" spans="1:11">
      <c r="A163" s="586" t="s">
        <v>61</v>
      </c>
      <c r="C163" s="591">
        <v>27.26</v>
      </c>
      <c r="D163" s="586">
        <v>26.82</v>
      </c>
      <c r="E163" s="586">
        <v>26.64</v>
      </c>
      <c r="F163" s="586">
        <v>26.98</v>
      </c>
      <c r="G163" s="586">
        <v>27.64</v>
      </c>
      <c r="H163" s="586">
        <v>26.37</v>
      </c>
      <c r="I163" s="586">
        <v>27.12</v>
      </c>
      <c r="J163" s="586">
        <v>26.25</v>
      </c>
      <c r="K163" s="586">
        <v>26.52</v>
      </c>
    </row>
    <row r="164" spans="1:11">
      <c r="A164" s="586" t="s">
        <v>62</v>
      </c>
      <c r="C164" s="591">
        <v>29.73</v>
      </c>
      <c r="D164" s="586">
        <v>28.86</v>
      </c>
      <c r="E164" s="586">
        <v>28.69</v>
      </c>
      <c r="F164" s="586">
        <v>29.42</v>
      </c>
      <c r="G164" s="586">
        <v>30.07</v>
      </c>
      <c r="H164" s="586">
        <v>28.69</v>
      </c>
      <c r="I164" s="586">
        <v>29.09</v>
      </c>
      <c r="J164" s="586">
        <v>29.41</v>
      </c>
      <c r="K164" s="586">
        <v>28.9</v>
      </c>
    </row>
    <row r="165" spans="1:11">
      <c r="A165" s="586" t="s">
        <v>63</v>
      </c>
      <c r="C165" s="591">
        <v>26.75</v>
      </c>
      <c r="D165" s="586">
        <v>24.97</v>
      </c>
      <c r="E165" s="586">
        <v>25.97</v>
      </c>
      <c r="F165" s="586">
        <v>25.78</v>
      </c>
      <c r="G165" s="586">
        <v>26.92</v>
      </c>
      <c r="H165" s="586">
        <v>27.01</v>
      </c>
      <c r="I165" s="586">
        <v>26.88</v>
      </c>
      <c r="J165" s="586">
        <v>27.54</v>
      </c>
      <c r="K165" s="586">
        <v>25.26</v>
      </c>
    </row>
    <row r="166" spans="1:11">
      <c r="A166" s="586" t="s">
        <v>64</v>
      </c>
      <c r="C166" s="591">
        <v>18.73</v>
      </c>
      <c r="D166" s="586">
        <v>17.28</v>
      </c>
      <c r="E166" s="586">
        <v>17.86</v>
      </c>
      <c r="F166" s="586">
        <v>16.350000000000001</v>
      </c>
      <c r="G166" s="586">
        <v>17.670000000000002</v>
      </c>
      <c r="H166" s="586">
        <v>17.079999999999998</v>
      </c>
      <c r="I166" s="586">
        <v>17.45</v>
      </c>
      <c r="J166" s="586">
        <v>18.809999999999999</v>
      </c>
      <c r="K166" s="586">
        <v>15.08</v>
      </c>
    </row>
    <row r="167" spans="1:11">
      <c r="A167" s="586" t="s">
        <v>65</v>
      </c>
      <c r="C167" s="591">
        <v>12.62</v>
      </c>
      <c r="D167" s="586">
        <v>12.39</v>
      </c>
      <c r="E167" s="586">
        <v>12.05</v>
      </c>
      <c r="F167" s="586">
        <v>15.75</v>
      </c>
      <c r="G167" s="586">
        <v>12.9</v>
      </c>
      <c r="H167" s="586">
        <v>12.55</v>
      </c>
      <c r="I167" s="586">
        <v>12.37</v>
      </c>
      <c r="J167" s="586">
        <v>12.44</v>
      </c>
      <c r="K167" s="586">
        <v>12.98</v>
      </c>
    </row>
    <row r="168" spans="1:11">
      <c r="A168" s="586" t="s">
        <v>66</v>
      </c>
      <c r="C168" s="591">
        <v>20.3</v>
      </c>
      <c r="D168" s="586">
        <v>20.64</v>
      </c>
      <c r="E168" s="586">
        <v>20.14</v>
      </c>
      <c r="F168" s="586">
        <v>20.8</v>
      </c>
      <c r="G168" s="586">
        <v>20.58</v>
      </c>
      <c r="H168" s="586">
        <v>20.29</v>
      </c>
      <c r="I168" s="586">
        <v>20.53</v>
      </c>
      <c r="J168" s="586">
        <v>20.89</v>
      </c>
      <c r="K168" s="586">
        <v>21.04</v>
      </c>
    </row>
    <row r="169" spans="1:11">
      <c r="C169" s="591"/>
    </row>
    <row r="170" spans="1:11">
      <c r="B170" s="586">
        <f>SUM(B160:B168)</f>
        <v>0</v>
      </c>
      <c r="C170" s="586">
        <f t="shared" ref="C170:K170" si="26">SUM(C160:C168)</f>
        <v>189.07000000000002</v>
      </c>
      <c r="D170" s="586">
        <f t="shared" si="26"/>
        <v>179.82</v>
      </c>
      <c r="E170" s="586">
        <f t="shared" si="26"/>
        <v>179.70999999999998</v>
      </c>
      <c r="F170" s="586">
        <f t="shared" si="26"/>
        <v>184.32000000000002</v>
      </c>
      <c r="G170" s="586">
        <f t="shared" si="26"/>
        <v>188.73000000000002</v>
      </c>
      <c r="H170" s="586">
        <f t="shared" si="26"/>
        <v>181.54999999999998</v>
      </c>
      <c r="I170" s="586">
        <f t="shared" si="26"/>
        <v>179.61</v>
      </c>
      <c r="J170" s="586">
        <f t="shared" si="26"/>
        <v>179.81</v>
      </c>
      <c r="K170" s="586">
        <f t="shared" si="26"/>
        <v>174.77999999999997</v>
      </c>
    </row>
    <row r="171" spans="1:11">
      <c r="C171" s="591"/>
      <c r="H171" s="593">
        <f t="shared" ref="H171:K171" si="27">H170/(280*0.9)</f>
        <v>0.72043650793650782</v>
      </c>
      <c r="I171" s="593">
        <f t="shared" si="27"/>
        <v>0.71273809523809528</v>
      </c>
      <c r="J171" s="593">
        <f t="shared" si="27"/>
        <v>0.71353174603174607</v>
      </c>
      <c r="K171" s="593">
        <f t="shared" si="27"/>
        <v>0.69357142857142851</v>
      </c>
    </row>
    <row r="172" spans="1:11">
      <c r="A172" s="586" t="s">
        <v>495</v>
      </c>
      <c r="C172" s="591"/>
    </row>
    <row r="173" spans="1:11">
      <c r="A173" s="586" t="s">
        <v>59</v>
      </c>
      <c r="C173" s="591">
        <v>17.170000000000002</v>
      </c>
      <c r="D173" s="586">
        <v>16.7</v>
      </c>
      <c r="E173" s="586">
        <v>16.39</v>
      </c>
      <c r="F173" s="586">
        <v>14.63</v>
      </c>
      <c r="G173" s="586">
        <v>14.02</v>
      </c>
      <c r="H173" s="586">
        <v>12.59</v>
      </c>
      <c r="I173" s="586">
        <v>14.21</v>
      </c>
      <c r="J173" s="586">
        <v>10.87</v>
      </c>
      <c r="K173" s="586">
        <v>14.78</v>
      </c>
    </row>
    <row r="174" spans="1:11">
      <c r="A174" s="592" t="s">
        <v>262</v>
      </c>
      <c r="C174" s="591">
        <v>27.1</v>
      </c>
      <c r="D174" s="586">
        <v>26.63</v>
      </c>
      <c r="E174" s="586">
        <v>26.34</v>
      </c>
      <c r="F174" s="586">
        <v>24.96</v>
      </c>
      <c r="G174" s="586">
        <v>24.81</v>
      </c>
      <c r="H174" s="586">
        <v>25.85</v>
      </c>
      <c r="I174" s="586">
        <v>25.5</v>
      </c>
      <c r="J174" s="586">
        <v>25.28</v>
      </c>
      <c r="K174" s="586">
        <v>26.23</v>
      </c>
    </row>
    <row r="175" spans="1:11">
      <c r="A175" s="586" t="s">
        <v>60</v>
      </c>
      <c r="C175" s="591">
        <v>26.56</v>
      </c>
      <c r="D175" s="586">
        <v>27.43</v>
      </c>
      <c r="E175" s="586">
        <v>27.18</v>
      </c>
      <c r="F175" s="586">
        <v>26.15</v>
      </c>
      <c r="G175" s="586">
        <v>26.15</v>
      </c>
      <c r="H175" s="586">
        <v>27.39</v>
      </c>
      <c r="I175" s="586">
        <v>27.2</v>
      </c>
      <c r="J175" s="586">
        <v>26.91</v>
      </c>
      <c r="K175" s="586">
        <v>27.66</v>
      </c>
    </row>
    <row r="176" spans="1:11">
      <c r="A176" s="586" t="s">
        <v>61</v>
      </c>
      <c r="C176" s="591">
        <v>28.08</v>
      </c>
      <c r="D176" s="586">
        <v>27.54</v>
      </c>
      <c r="E176" s="586">
        <v>28.04</v>
      </c>
      <c r="F176" s="586">
        <v>27.18</v>
      </c>
      <c r="G176" s="586">
        <v>27.43</v>
      </c>
      <c r="H176" s="586">
        <v>27.78</v>
      </c>
      <c r="I176" s="586">
        <v>28.26</v>
      </c>
      <c r="J176" s="586">
        <v>28.07</v>
      </c>
      <c r="K176" s="586">
        <v>28.52</v>
      </c>
    </row>
    <row r="177" spans="1:11">
      <c r="A177" s="586" t="s">
        <v>62</v>
      </c>
      <c r="C177" s="591">
        <v>29.07</v>
      </c>
      <c r="D177" s="586">
        <v>29.34</v>
      </c>
      <c r="E177" s="586">
        <v>29.31</v>
      </c>
      <c r="F177" s="586">
        <v>29.38</v>
      </c>
      <c r="G177" s="586">
        <v>29.57</v>
      </c>
      <c r="H177" s="586">
        <v>29.38</v>
      </c>
      <c r="I177" s="586">
        <v>29.2</v>
      </c>
      <c r="J177" s="586">
        <v>29.98</v>
      </c>
      <c r="K177" s="586">
        <v>29.03</v>
      </c>
    </row>
    <row r="178" spans="1:11">
      <c r="A178" s="586" t="s">
        <v>63</v>
      </c>
      <c r="C178" s="591">
        <v>24.19</v>
      </c>
      <c r="D178" s="586">
        <v>24.4</v>
      </c>
      <c r="E178" s="586">
        <v>23.61</v>
      </c>
      <c r="F178" s="586">
        <v>24.39</v>
      </c>
      <c r="G178" s="586">
        <v>23.84</v>
      </c>
      <c r="H178" s="586">
        <v>24.41</v>
      </c>
      <c r="I178" s="586">
        <v>23.37</v>
      </c>
      <c r="J178" s="586">
        <v>26.06</v>
      </c>
      <c r="K178" s="586">
        <v>24.75</v>
      </c>
    </row>
    <row r="179" spans="1:11">
      <c r="A179" s="586" t="s">
        <v>64</v>
      </c>
      <c r="C179" s="591">
        <v>17.79</v>
      </c>
      <c r="D179" s="586">
        <v>17.059999999999999</v>
      </c>
      <c r="E179" s="586">
        <v>16.63</v>
      </c>
      <c r="F179" s="586">
        <v>15.81</v>
      </c>
      <c r="G179" s="586">
        <v>17.75</v>
      </c>
      <c r="H179" s="586">
        <v>16.52</v>
      </c>
      <c r="I179" s="586">
        <v>17.5</v>
      </c>
      <c r="J179" s="586">
        <v>18.98</v>
      </c>
      <c r="K179" s="586">
        <v>16.39</v>
      </c>
    </row>
    <row r="180" spans="1:11">
      <c r="A180" s="586" t="s">
        <v>65</v>
      </c>
      <c r="C180" s="591">
        <v>14.07</v>
      </c>
      <c r="D180" s="586">
        <v>14.16</v>
      </c>
      <c r="E180" s="586">
        <v>13.88</v>
      </c>
      <c r="F180" s="586">
        <v>14</v>
      </c>
      <c r="G180" s="586">
        <v>13.92</v>
      </c>
      <c r="H180" s="586">
        <v>13.81</v>
      </c>
      <c r="I180" s="586">
        <v>13.91</v>
      </c>
      <c r="J180" s="586">
        <v>14.01</v>
      </c>
      <c r="K180" s="586">
        <v>14.46</v>
      </c>
    </row>
    <row r="181" spans="1:11">
      <c r="A181" s="586" t="s">
        <v>66</v>
      </c>
      <c r="C181" s="591">
        <v>21.77</v>
      </c>
      <c r="D181" s="586">
        <v>21.62</v>
      </c>
      <c r="E181" s="586">
        <v>21.29</v>
      </c>
      <c r="F181" s="586">
        <v>21.61</v>
      </c>
      <c r="G181" s="586">
        <v>21.58</v>
      </c>
      <c r="H181" s="586">
        <v>21.41</v>
      </c>
      <c r="I181" s="586">
        <v>21.82</v>
      </c>
      <c r="J181" s="586">
        <v>21.47</v>
      </c>
      <c r="K181" s="586">
        <v>20.99</v>
      </c>
    </row>
    <row r="182" spans="1:11">
      <c r="C182" s="591"/>
    </row>
    <row r="183" spans="1:11">
      <c r="B183" s="586">
        <f>SUM(B173:B181)</f>
        <v>0</v>
      </c>
      <c r="C183" s="586">
        <f t="shared" ref="C183:K183" si="28">SUM(C173:C181)</f>
        <v>205.79999999999998</v>
      </c>
      <c r="D183" s="586">
        <f t="shared" si="28"/>
        <v>204.88</v>
      </c>
      <c r="E183" s="586">
        <f t="shared" si="28"/>
        <v>202.67</v>
      </c>
      <c r="F183" s="586">
        <f t="shared" si="28"/>
        <v>198.11</v>
      </c>
      <c r="G183" s="586">
        <f t="shared" si="28"/>
        <v>199.07</v>
      </c>
      <c r="H183" s="586">
        <f t="shared" si="28"/>
        <v>199.14000000000001</v>
      </c>
      <c r="I183" s="586">
        <f t="shared" si="28"/>
        <v>200.97</v>
      </c>
      <c r="J183" s="586">
        <f t="shared" si="28"/>
        <v>201.62999999999997</v>
      </c>
      <c r="K183" s="586">
        <f t="shared" si="28"/>
        <v>202.81000000000003</v>
      </c>
    </row>
    <row r="184" spans="1:11">
      <c r="C184" s="591"/>
      <c r="H184" s="593">
        <f t="shared" ref="H184:K184" si="29">H183/(280*0.9)</f>
        <v>0.79023809523809529</v>
      </c>
      <c r="I184" s="593">
        <f t="shared" si="29"/>
        <v>0.79749999999999999</v>
      </c>
      <c r="J184" s="593">
        <f t="shared" si="29"/>
        <v>0.80011904761904751</v>
      </c>
      <c r="K184" s="593">
        <f t="shared" si="29"/>
        <v>0.80480158730158746</v>
      </c>
    </row>
    <row r="185" spans="1:11">
      <c r="A185" s="586" t="s">
        <v>502</v>
      </c>
      <c r="C185" s="591"/>
    </row>
    <row r="186" spans="1:11">
      <c r="A186" s="586" t="s">
        <v>59</v>
      </c>
      <c r="C186" s="591">
        <v>14.55</v>
      </c>
      <c r="D186" s="586">
        <v>13.52</v>
      </c>
      <c r="E186" s="586">
        <v>15</v>
      </c>
      <c r="F186" s="586">
        <v>15.31</v>
      </c>
      <c r="G186" s="586">
        <v>14.37</v>
      </c>
      <c r="H186" s="586">
        <v>11.98</v>
      </c>
      <c r="I186" s="586">
        <v>11.98</v>
      </c>
      <c r="J186" s="586">
        <v>14.04</v>
      </c>
      <c r="K186" s="586">
        <v>10.69</v>
      </c>
    </row>
    <row r="187" spans="1:11">
      <c r="A187" s="592" t="s">
        <v>262</v>
      </c>
      <c r="C187" s="591">
        <v>26.09</v>
      </c>
      <c r="D187" s="586">
        <v>25.7</v>
      </c>
      <c r="E187" s="586">
        <v>25.69</v>
      </c>
      <c r="F187" s="586">
        <v>25.45</v>
      </c>
      <c r="G187" s="586">
        <v>25.11</v>
      </c>
      <c r="H187" s="586">
        <v>24.65</v>
      </c>
      <c r="I187" s="586">
        <v>24.65</v>
      </c>
      <c r="J187" s="586">
        <v>24.37</v>
      </c>
      <c r="K187" s="586">
        <v>25.04</v>
      </c>
    </row>
    <row r="188" spans="1:11">
      <c r="A188" s="586" t="s">
        <v>60</v>
      </c>
      <c r="C188" s="591">
        <v>25.87</v>
      </c>
      <c r="D188" s="586">
        <v>24.93</v>
      </c>
      <c r="E188" s="586">
        <v>25.34</v>
      </c>
      <c r="F188" s="586">
        <v>24.65</v>
      </c>
      <c r="G188" s="586">
        <v>24.53</v>
      </c>
      <c r="H188" s="586">
        <v>25.66</v>
      </c>
      <c r="I188" s="586">
        <v>25.66</v>
      </c>
      <c r="J188" s="586">
        <v>25.63</v>
      </c>
      <c r="K188" s="586">
        <v>24.1</v>
      </c>
    </row>
    <row r="189" spans="1:11">
      <c r="A189" s="586" t="s">
        <v>61</v>
      </c>
      <c r="C189" s="591">
        <v>26.31</v>
      </c>
      <c r="D189" s="586">
        <v>25.95</v>
      </c>
      <c r="E189" s="586">
        <v>26.7</v>
      </c>
      <c r="F189" s="586">
        <v>27.21</v>
      </c>
      <c r="G189" s="586">
        <v>26.1</v>
      </c>
      <c r="H189" s="586">
        <v>27.08</v>
      </c>
      <c r="I189" s="586">
        <v>27.08</v>
      </c>
      <c r="J189" s="586">
        <v>26.88</v>
      </c>
      <c r="K189" s="586">
        <v>25.83</v>
      </c>
    </row>
    <row r="190" spans="1:11">
      <c r="A190" s="586" t="s">
        <v>62</v>
      </c>
      <c r="C190" s="591">
        <v>25.27</v>
      </c>
      <c r="D190" s="586">
        <v>25.85</v>
      </c>
      <c r="E190" s="586">
        <v>26.83</v>
      </c>
      <c r="F190" s="586">
        <v>25.16</v>
      </c>
      <c r="G190" s="586">
        <v>25.65</v>
      </c>
      <c r="H190" s="586">
        <v>26.01</v>
      </c>
      <c r="I190" s="586">
        <v>26.01</v>
      </c>
      <c r="J190" s="586">
        <v>25.92</v>
      </c>
      <c r="K190" s="586">
        <v>26.05</v>
      </c>
    </row>
    <row r="191" spans="1:11">
      <c r="A191" s="586" t="s">
        <v>63</v>
      </c>
      <c r="C191" s="591">
        <v>18.36</v>
      </c>
      <c r="D191" s="586">
        <v>17.77</v>
      </c>
      <c r="E191" s="586">
        <v>20.04</v>
      </c>
      <c r="F191" s="586">
        <v>18.399999999999999</v>
      </c>
      <c r="G191" s="586">
        <v>18.600000000000001</v>
      </c>
      <c r="H191" s="586">
        <v>17.559999999999999</v>
      </c>
      <c r="I191" s="586">
        <v>17.559999999999999</v>
      </c>
      <c r="J191" s="586">
        <v>18.829999999999998</v>
      </c>
      <c r="K191" s="586">
        <v>18.600000000000001</v>
      </c>
    </row>
    <row r="192" spans="1:11">
      <c r="A192" s="586" t="s">
        <v>64</v>
      </c>
      <c r="C192" s="591">
        <v>22.69</v>
      </c>
      <c r="D192" s="586">
        <v>22.66</v>
      </c>
      <c r="E192" s="586">
        <v>22.82</v>
      </c>
      <c r="F192" s="586">
        <v>24</v>
      </c>
      <c r="G192" s="586">
        <v>22.87</v>
      </c>
      <c r="H192" s="586">
        <v>24.08</v>
      </c>
      <c r="I192" s="586">
        <v>24.08</v>
      </c>
      <c r="J192" s="586">
        <v>22.59</v>
      </c>
      <c r="K192" s="586">
        <v>22.54</v>
      </c>
    </row>
    <row r="193" spans="1:11">
      <c r="A193" s="586" t="s">
        <v>65</v>
      </c>
      <c r="C193" s="591">
        <v>28.9</v>
      </c>
      <c r="D193" s="586">
        <v>29.11</v>
      </c>
      <c r="E193" s="586">
        <v>28.14</v>
      </c>
      <c r="F193" s="586">
        <v>30.13</v>
      </c>
      <c r="G193" s="586">
        <v>28.12</v>
      </c>
      <c r="H193" s="586">
        <v>29.56</v>
      </c>
      <c r="I193" s="586">
        <v>29.56</v>
      </c>
      <c r="J193" s="586">
        <v>28.8</v>
      </c>
      <c r="K193" s="586">
        <v>28.62</v>
      </c>
    </row>
    <row r="194" spans="1:11">
      <c r="A194" s="586" t="s">
        <v>66</v>
      </c>
      <c r="C194" s="591">
        <v>30.7</v>
      </c>
      <c r="D194" s="586">
        <v>30.33</v>
      </c>
      <c r="E194" s="586">
        <v>29.98</v>
      </c>
      <c r="F194" s="586">
        <v>30.2</v>
      </c>
      <c r="G194" s="586">
        <v>29.83</v>
      </c>
      <c r="H194" s="586">
        <v>30.07</v>
      </c>
      <c r="I194" s="586">
        <v>30.07</v>
      </c>
      <c r="J194" s="586">
        <v>30.11</v>
      </c>
      <c r="K194" s="586">
        <v>30.58</v>
      </c>
    </row>
    <row r="195" spans="1:11">
      <c r="C195" s="591"/>
    </row>
    <row r="196" spans="1:11">
      <c r="B196" s="586">
        <f>SUM(B186:B194)</f>
        <v>0</v>
      </c>
      <c r="C196" s="586">
        <f t="shared" ref="C196:K196" si="30">SUM(C186:C194)</f>
        <v>218.73999999999998</v>
      </c>
      <c r="D196" s="586">
        <f t="shared" si="30"/>
        <v>215.82</v>
      </c>
      <c r="E196" s="586">
        <f t="shared" si="30"/>
        <v>220.54</v>
      </c>
      <c r="F196" s="586">
        <f t="shared" si="30"/>
        <v>220.51</v>
      </c>
      <c r="G196" s="586">
        <f t="shared" si="30"/>
        <v>215.18</v>
      </c>
      <c r="H196" s="586">
        <f t="shared" si="30"/>
        <v>216.64999999999998</v>
      </c>
      <c r="I196" s="586">
        <f t="shared" si="30"/>
        <v>216.64999999999998</v>
      </c>
      <c r="J196" s="586">
        <f t="shared" si="30"/>
        <v>217.17000000000002</v>
      </c>
      <c r="K196" s="586">
        <f t="shared" si="30"/>
        <v>212.05</v>
      </c>
    </row>
    <row r="197" spans="1:11">
      <c r="C197" s="591"/>
      <c r="H197" s="593">
        <f t="shared" ref="H197:K197" si="31">H196/(280*0.9)</f>
        <v>0.85972222222222217</v>
      </c>
      <c r="I197" s="593">
        <f t="shared" si="31"/>
        <v>0.85972222222222217</v>
      </c>
      <c r="J197" s="593">
        <f t="shared" si="31"/>
        <v>0.86178571428571438</v>
      </c>
      <c r="K197" s="593">
        <f t="shared" si="31"/>
        <v>0.84146825396825398</v>
      </c>
    </row>
    <row r="198" spans="1:11">
      <c r="A198" s="586" t="s">
        <v>508</v>
      </c>
      <c r="C198" s="591"/>
    </row>
    <row r="199" spans="1:11">
      <c r="A199" s="586" t="s">
        <v>59</v>
      </c>
      <c r="C199" s="591">
        <v>14.55</v>
      </c>
      <c r="D199" s="586">
        <v>13.28</v>
      </c>
      <c r="E199" s="586">
        <v>12.73</v>
      </c>
      <c r="F199" s="586">
        <v>10.19</v>
      </c>
      <c r="G199" s="586">
        <v>5.82</v>
      </c>
      <c r="H199" s="586">
        <v>11.33</v>
      </c>
      <c r="I199" s="586">
        <v>11.33</v>
      </c>
      <c r="J199" s="586">
        <v>8.9499999999999993</v>
      </c>
      <c r="K199" s="586">
        <v>9.3000000000000007</v>
      </c>
    </row>
    <row r="200" spans="1:11">
      <c r="A200" s="592" t="s">
        <v>262</v>
      </c>
      <c r="C200" s="591">
        <v>24.62</v>
      </c>
      <c r="D200" s="586">
        <v>24.93</v>
      </c>
      <c r="E200" s="586">
        <v>24.26</v>
      </c>
      <c r="F200" s="586">
        <v>23.76</v>
      </c>
      <c r="G200" s="586">
        <v>23.22</v>
      </c>
      <c r="H200" s="586">
        <v>23.27</v>
      </c>
      <c r="I200" s="586">
        <v>23.27</v>
      </c>
      <c r="J200" s="586">
        <v>23.02</v>
      </c>
      <c r="K200" s="586">
        <v>24.03</v>
      </c>
    </row>
    <row r="201" spans="1:11">
      <c r="A201" s="586" t="s">
        <v>60</v>
      </c>
      <c r="C201" s="591">
        <v>24.48</v>
      </c>
      <c r="D201" s="586">
        <v>24.26</v>
      </c>
      <c r="E201" s="586">
        <v>24.11</v>
      </c>
      <c r="F201" s="586">
        <v>25.06</v>
      </c>
      <c r="G201" s="586">
        <v>24.15</v>
      </c>
      <c r="H201" s="586">
        <v>24.95</v>
      </c>
      <c r="I201" s="586">
        <v>24.95</v>
      </c>
      <c r="J201" s="586">
        <v>24.2</v>
      </c>
      <c r="K201" s="586">
        <v>24.32</v>
      </c>
    </row>
    <row r="202" spans="1:11">
      <c r="A202" s="586" t="s">
        <v>61</v>
      </c>
      <c r="C202" s="591">
        <v>25.01</v>
      </c>
      <c r="D202" s="586">
        <v>24.75</v>
      </c>
      <c r="E202" s="586">
        <v>24.8</v>
      </c>
      <c r="F202" s="586">
        <v>25.08</v>
      </c>
      <c r="G202" s="586">
        <v>25.2</v>
      </c>
      <c r="H202" s="586">
        <v>25.35</v>
      </c>
      <c r="I202" s="586">
        <v>25.35</v>
      </c>
      <c r="J202" s="586">
        <v>25.3</v>
      </c>
      <c r="K202" s="586">
        <v>24.67</v>
      </c>
    </row>
    <row r="203" spans="1:11">
      <c r="A203" s="586" t="s">
        <v>62</v>
      </c>
      <c r="C203" s="591">
        <v>23.24</v>
      </c>
      <c r="D203" s="586">
        <v>23.67</v>
      </c>
      <c r="E203" s="586">
        <v>23.24</v>
      </c>
      <c r="F203" s="586">
        <v>24.96</v>
      </c>
      <c r="G203" s="586">
        <v>23.59</v>
      </c>
      <c r="H203" s="586">
        <v>23.83</v>
      </c>
      <c r="I203" s="586">
        <v>23.83</v>
      </c>
      <c r="J203" s="586">
        <v>23.63</v>
      </c>
      <c r="K203" s="586">
        <v>23.34</v>
      </c>
    </row>
    <row r="204" spans="1:11">
      <c r="A204" s="586" t="s">
        <v>63</v>
      </c>
      <c r="C204" s="591">
        <v>25.19</v>
      </c>
      <c r="D204" s="586">
        <v>24.72</v>
      </c>
      <c r="E204" s="586">
        <v>25</v>
      </c>
      <c r="F204" s="586">
        <v>25.3</v>
      </c>
      <c r="G204" s="586">
        <v>24.73</v>
      </c>
      <c r="H204" s="586">
        <v>24.95</v>
      </c>
      <c r="I204" s="586">
        <v>24.95</v>
      </c>
      <c r="J204" s="586">
        <v>25.19</v>
      </c>
      <c r="K204" s="586">
        <v>25.21</v>
      </c>
    </row>
    <row r="205" spans="1:11">
      <c r="A205" s="586" t="s">
        <v>64</v>
      </c>
      <c r="C205" s="591">
        <v>31.11</v>
      </c>
      <c r="D205" s="586">
        <v>29.8</v>
      </c>
      <c r="E205" s="586">
        <v>32.119999999999997</v>
      </c>
      <c r="F205" s="586">
        <v>29.86</v>
      </c>
      <c r="G205" s="586">
        <v>31.7</v>
      </c>
      <c r="H205" s="586">
        <v>32.159999999999997</v>
      </c>
      <c r="I205" s="586">
        <v>32.159999999999997</v>
      </c>
      <c r="J205" s="586">
        <v>30.69</v>
      </c>
      <c r="K205" s="586">
        <v>30.07</v>
      </c>
    </row>
    <row r="206" spans="1:11">
      <c r="A206" s="586" t="s">
        <v>65</v>
      </c>
      <c r="C206" s="591">
        <v>26.62</v>
      </c>
      <c r="D206" s="586">
        <v>26.14</v>
      </c>
      <c r="E206" s="586">
        <v>27.92</v>
      </c>
      <c r="F206" s="586">
        <v>26.32</v>
      </c>
      <c r="G206" s="586">
        <v>27.35</v>
      </c>
      <c r="H206" s="586">
        <v>29.7</v>
      </c>
      <c r="I206" s="586">
        <v>29.7</v>
      </c>
      <c r="J206" s="586">
        <v>26.4</v>
      </c>
      <c r="K206" s="586">
        <v>26.91</v>
      </c>
    </row>
    <row r="207" spans="1:11">
      <c r="A207" s="586" t="s">
        <v>66</v>
      </c>
      <c r="C207" s="591">
        <v>27.93</v>
      </c>
      <c r="D207" s="586">
        <v>25.96</v>
      </c>
      <c r="E207" s="586">
        <v>27.99</v>
      </c>
      <c r="F207" s="586">
        <v>25.89</v>
      </c>
      <c r="G207" s="586">
        <v>27.63</v>
      </c>
      <c r="H207" s="586">
        <v>27.72</v>
      </c>
      <c r="I207" s="586">
        <v>27.72</v>
      </c>
      <c r="J207" s="586">
        <v>25.97</v>
      </c>
      <c r="K207" s="586">
        <v>26.44</v>
      </c>
    </row>
    <row r="208" spans="1:11">
      <c r="C208" s="591"/>
    </row>
    <row r="209" spans="1:11">
      <c r="B209" s="586">
        <f>SUM(B199:B207)</f>
        <v>0</v>
      </c>
      <c r="C209" s="586">
        <f t="shared" ref="C209:K209" si="32">SUM(C199:C207)</f>
        <v>222.75</v>
      </c>
      <c r="D209" s="586">
        <f t="shared" si="32"/>
        <v>217.51000000000002</v>
      </c>
      <c r="E209" s="586">
        <f t="shared" si="32"/>
        <v>222.17000000000002</v>
      </c>
      <c r="F209" s="586">
        <f t="shared" si="32"/>
        <v>216.42000000000002</v>
      </c>
      <c r="G209" s="586">
        <f t="shared" si="32"/>
        <v>213.39</v>
      </c>
      <c r="H209" s="586">
        <f t="shared" si="32"/>
        <v>223.26</v>
      </c>
      <c r="I209" s="586">
        <f t="shared" si="32"/>
        <v>223.26</v>
      </c>
      <c r="J209" s="586">
        <f t="shared" si="32"/>
        <v>213.35</v>
      </c>
      <c r="K209" s="586">
        <f t="shared" si="32"/>
        <v>214.29</v>
      </c>
    </row>
    <row r="210" spans="1:11">
      <c r="C210" s="591"/>
      <c r="H210" s="593">
        <f t="shared" ref="H210:K210" si="33">H209/(280*0.9)</f>
        <v>0.88595238095238094</v>
      </c>
      <c r="I210" s="593">
        <f t="shared" si="33"/>
        <v>0.88595238095238094</v>
      </c>
      <c r="J210" s="593">
        <f t="shared" si="33"/>
        <v>0.84662698412698412</v>
      </c>
      <c r="K210" s="593">
        <f t="shared" si="33"/>
        <v>0.85035714285714281</v>
      </c>
    </row>
    <row r="211" spans="1:11">
      <c r="A211" s="586" t="s">
        <v>514</v>
      </c>
      <c r="C211" s="591"/>
    </row>
    <row r="212" spans="1:11">
      <c r="A212" s="586" t="s">
        <v>59</v>
      </c>
      <c r="C212" s="591">
        <v>16.329999999999998</v>
      </c>
      <c r="D212" s="586">
        <v>13.48</v>
      </c>
      <c r="E212" s="586">
        <v>14.94</v>
      </c>
      <c r="F212" s="586">
        <v>15.54</v>
      </c>
      <c r="G212" s="586">
        <v>15.08</v>
      </c>
      <c r="H212" s="586">
        <v>13.86</v>
      </c>
      <c r="I212" s="586">
        <v>13.86</v>
      </c>
      <c r="J212" s="586">
        <v>14.44</v>
      </c>
      <c r="K212" s="586">
        <v>12.31</v>
      </c>
    </row>
    <row r="213" spans="1:11">
      <c r="A213" s="592" t="s">
        <v>262</v>
      </c>
      <c r="C213" s="591">
        <v>24.77</v>
      </c>
      <c r="D213" s="586">
        <v>24.99</v>
      </c>
      <c r="E213" s="586">
        <v>24.39</v>
      </c>
      <c r="F213" s="586">
        <v>24.71</v>
      </c>
      <c r="G213" s="586">
        <v>22.76</v>
      </c>
      <c r="H213" s="586">
        <v>23.8</v>
      </c>
      <c r="I213" s="586">
        <v>23.8</v>
      </c>
      <c r="J213" s="586">
        <v>24.42</v>
      </c>
      <c r="K213" s="586">
        <v>23.9</v>
      </c>
    </row>
    <row r="214" spans="1:11">
      <c r="A214" s="586" t="s">
        <v>60</v>
      </c>
      <c r="C214" s="591">
        <v>22.85</v>
      </c>
      <c r="D214" s="586">
        <v>23.46</v>
      </c>
      <c r="E214" s="586">
        <v>23.38</v>
      </c>
      <c r="F214" s="586">
        <v>23.94</v>
      </c>
      <c r="G214" s="586">
        <v>22.63</v>
      </c>
      <c r="H214" s="586">
        <v>23.39</v>
      </c>
      <c r="I214" s="586">
        <v>23.39</v>
      </c>
      <c r="J214" s="586">
        <v>23.3</v>
      </c>
      <c r="K214" s="586">
        <v>23.17</v>
      </c>
    </row>
    <row r="215" spans="1:11">
      <c r="A215" s="586" t="s">
        <v>61</v>
      </c>
      <c r="C215" s="591">
        <v>24.59</v>
      </c>
      <c r="D215" s="586">
        <v>24.01</v>
      </c>
      <c r="E215" s="586">
        <v>24.95</v>
      </c>
      <c r="F215" s="586">
        <v>24.39</v>
      </c>
      <c r="G215" s="586">
        <v>24.2</v>
      </c>
      <c r="H215" s="586">
        <v>24.13</v>
      </c>
      <c r="I215" s="586">
        <v>24.13</v>
      </c>
      <c r="J215" s="586">
        <v>24.1</v>
      </c>
      <c r="K215" s="586">
        <v>24.48</v>
      </c>
    </row>
    <row r="216" spans="1:11">
      <c r="A216" s="586" t="s">
        <v>62</v>
      </c>
      <c r="C216" s="591">
        <v>27.58</v>
      </c>
      <c r="D216" s="586">
        <v>27.62</v>
      </c>
      <c r="E216" s="586">
        <v>28.83</v>
      </c>
      <c r="F216" s="586">
        <v>28.54</v>
      </c>
      <c r="G216" s="586">
        <v>27.6</v>
      </c>
      <c r="H216" s="586">
        <v>27.52</v>
      </c>
      <c r="I216" s="586">
        <v>27.52</v>
      </c>
      <c r="J216" s="586">
        <v>27.64</v>
      </c>
      <c r="K216" s="586">
        <v>27.62</v>
      </c>
    </row>
    <row r="217" spans="1:11">
      <c r="A217" s="586" t="s">
        <v>63</v>
      </c>
      <c r="C217" s="591">
        <v>23.35</v>
      </c>
      <c r="D217" s="586">
        <v>22.82</v>
      </c>
      <c r="E217" s="586">
        <v>23.5</v>
      </c>
      <c r="F217" s="586">
        <v>23.51</v>
      </c>
      <c r="G217" s="586">
        <v>23.43</v>
      </c>
      <c r="H217" s="586">
        <v>25.1</v>
      </c>
      <c r="I217" s="586">
        <v>25.1</v>
      </c>
      <c r="J217" s="586">
        <v>24.03</v>
      </c>
      <c r="K217" s="586">
        <v>23.8</v>
      </c>
    </row>
    <row r="218" spans="1:11">
      <c r="A218" s="586" t="s">
        <v>64</v>
      </c>
      <c r="C218" s="591">
        <v>16.45</v>
      </c>
      <c r="D218" s="586">
        <v>14.14</v>
      </c>
      <c r="E218" s="586">
        <v>15.91</v>
      </c>
      <c r="F218" s="586">
        <v>15.32</v>
      </c>
      <c r="G218" s="586">
        <v>14.97</v>
      </c>
      <c r="H218" s="586">
        <v>19.239999999999998</v>
      </c>
      <c r="I218" s="586">
        <v>19.239999999999998</v>
      </c>
      <c r="J218" s="586">
        <v>15.24</v>
      </c>
      <c r="K218" s="586">
        <v>17.850000000000001</v>
      </c>
    </row>
    <row r="219" spans="1:11">
      <c r="A219" s="586" t="s">
        <v>65</v>
      </c>
      <c r="C219" s="591">
        <v>16.73</v>
      </c>
      <c r="D219" s="586">
        <v>16.940000000000001</v>
      </c>
      <c r="E219" s="586">
        <v>16.829999999999998</v>
      </c>
      <c r="F219" s="586">
        <v>17.07</v>
      </c>
      <c r="G219" s="586">
        <v>16.75</v>
      </c>
      <c r="H219" s="586">
        <v>16.55</v>
      </c>
      <c r="I219" s="586">
        <v>16.55</v>
      </c>
      <c r="J219" s="586">
        <v>17.53</v>
      </c>
      <c r="K219" s="586">
        <v>17.28</v>
      </c>
    </row>
    <row r="220" spans="1:11">
      <c r="A220" s="586" t="s">
        <v>66</v>
      </c>
      <c r="C220" s="591">
        <v>15.78</v>
      </c>
      <c r="D220" s="586">
        <v>15.57</v>
      </c>
      <c r="E220" s="586">
        <v>15.8</v>
      </c>
      <c r="F220" s="586">
        <v>15.87</v>
      </c>
      <c r="G220" s="586">
        <v>15.8</v>
      </c>
      <c r="H220" s="586">
        <v>16</v>
      </c>
      <c r="I220" s="586">
        <v>16</v>
      </c>
      <c r="J220" s="586">
        <v>16.059999999999999</v>
      </c>
      <c r="K220" s="586">
        <v>16.14</v>
      </c>
    </row>
    <row r="221" spans="1:11">
      <c r="C221" s="591"/>
    </row>
    <row r="222" spans="1:11">
      <c r="B222" s="586">
        <f>SUM(B212:B220)</f>
        <v>0</v>
      </c>
      <c r="C222" s="586">
        <f t="shared" ref="C222:K222" si="34">SUM(C212:C220)</f>
        <v>188.42999999999998</v>
      </c>
      <c r="D222" s="586">
        <f t="shared" si="34"/>
        <v>183.02999999999997</v>
      </c>
      <c r="E222" s="586">
        <f t="shared" si="34"/>
        <v>188.53000000000003</v>
      </c>
      <c r="F222" s="586">
        <f t="shared" si="34"/>
        <v>188.89</v>
      </c>
      <c r="G222" s="586">
        <f t="shared" si="34"/>
        <v>183.22000000000003</v>
      </c>
      <c r="H222" s="586">
        <f t="shared" si="34"/>
        <v>189.59</v>
      </c>
      <c r="I222" s="586">
        <f t="shared" si="34"/>
        <v>189.59</v>
      </c>
      <c r="J222" s="586">
        <f t="shared" si="34"/>
        <v>186.76000000000002</v>
      </c>
      <c r="K222" s="586">
        <f t="shared" si="34"/>
        <v>186.55</v>
      </c>
    </row>
    <row r="223" spans="1:11">
      <c r="C223" s="591"/>
      <c r="H223" s="593">
        <f t="shared" ref="H223:K223" si="35">H222/(280*0.9)</f>
        <v>0.75234126984126981</v>
      </c>
      <c r="I223" s="593">
        <f t="shared" si="35"/>
        <v>0.75234126984126981</v>
      </c>
      <c r="J223" s="593">
        <f t="shared" si="35"/>
        <v>0.74111111111111116</v>
      </c>
      <c r="K223" s="593">
        <f t="shared" si="35"/>
        <v>0.74027777777777781</v>
      </c>
    </row>
    <row r="224" spans="1:11">
      <c r="A224" s="586" t="s">
        <v>520</v>
      </c>
      <c r="C224" s="591"/>
    </row>
    <row r="225" spans="1:11">
      <c r="A225" s="586" t="s">
        <v>59</v>
      </c>
      <c r="C225" s="591">
        <v>13.12</v>
      </c>
      <c r="D225" s="586">
        <v>14.6</v>
      </c>
      <c r="E225" s="586">
        <v>13.32</v>
      </c>
      <c r="F225" s="586">
        <v>12.06</v>
      </c>
      <c r="G225" s="586">
        <v>12.86</v>
      </c>
      <c r="H225" s="586">
        <v>12.48</v>
      </c>
      <c r="I225" s="586">
        <v>12.48</v>
      </c>
      <c r="J225" s="586">
        <v>11.8</v>
      </c>
      <c r="K225" s="586">
        <v>11.39</v>
      </c>
    </row>
    <row r="226" spans="1:11">
      <c r="A226" s="592" t="s">
        <v>262</v>
      </c>
      <c r="C226" s="591">
        <v>24.65</v>
      </c>
      <c r="D226" s="586">
        <v>27.05</v>
      </c>
      <c r="E226" s="586">
        <v>25.14</v>
      </c>
      <c r="F226" s="586">
        <v>24.26</v>
      </c>
      <c r="G226" s="586">
        <v>24.55</v>
      </c>
      <c r="H226" s="586">
        <v>24.61</v>
      </c>
      <c r="I226" s="586">
        <v>24.61</v>
      </c>
      <c r="J226" s="586">
        <v>23.19</v>
      </c>
      <c r="K226" s="586">
        <v>22.88</v>
      </c>
    </row>
    <row r="227" spans="1:11">
      <c r="A227" s="586" t="s">
        <v>60</v>
      </c>
      <c r="C227" s="591">
        <v>23.34</v>
      </c>
      <c r="D227" s="586">
        <v>24.19</v>
      </c>
      <c r="E227" s="586">
        <v>24.32</v>
      </c>
      <c r="F227" s="586">
        <v>23.07</v>
      </c>
      <c r="G227" s="586">
        <v>24.37</v>
      </c>
      <c r="H227" s="586">
        <v>24.4</v>
      </c>
      <c r="I227" s="586">
        <v>24.4</v>
      </c>
      <c r="J227" s="586">
        <v>22.78</v>
      </c>
      <c r="K227" s="586">
        <v>23.51</v>
      </c>
    </row>
    <row r="228" spans="1:11">
      <c r="A228" s="586" t="s">
        <v>61</v>
      </c>
      <c r="C228" s="591">
        <v>24.49</v>
      </c>
      <c r="D228" s="586">
        <v>24.77</v>
      </c>
      <c r="E228" s="586">
        <v>24.18</v>
      </c>
      <c r="F228" s="586">
        <v>24.38</v>
      </c>
      <c r="G228" s="586">
        <v>23.9</v>
      </c>
      <c r="H228" s="586">
        <v>24.14</v>
      </c>
      <c r="I228" s="586">
        <v>24.14</v>
      </c>
      <c r="J228" s="586">
        <v>24.35</v>
      </c>
      <c r="K228" s="586">
        <v>24.65</v>
      </c>
    </row>
    <row r="229" spans="1:11">
      <c r="A229" s="586" t="s">
        <v>62</v>
      </c>
      <c r="C229" s="591">
        <v>25.45</v>
      </c>
      <c r="D229" s="586">
        <v>26.38</v>
      </c>
      <c r="E229" s="586">
        <v>25.5</v>
      </c>
      <c r="F229" s="586">
        <v>25.91</v>
      </c>
      <c r="G229" s="586">
        <v>25.32</v>
      </c>
      <c r="H229" s="586">
        <v>24.54</v>
      </c>
      <c r="I229" s="586">
        <v>24.54</v>
      </c>
      <c r="J229" s="586">
        <v>24.94</v>
      </c>
      <c r="K229" s="586">
        <v>26.27</v>
      </c>
    </row>
    <row r="230" spans="1:11">
      <c r="A230" s="586" t="s">
        <v>63</v>
      </c>
      <c r="C230" s="591">
        <v>26.66</v>
      </c>
      <c r="D230" s="586">
        <v>27.42</v>
      </c>
      <c r="E230" s="586">
        <v>26.6</v>
      </c>
      <c r="F230" s="586">
        <v>27.89</v>
      </c>
      <c r="G230" s="594">
        <f>F230</f>
        <v>27.89</v>
      </c>
      <c r="H230" s="586">
        <v>26.94</v>
      </c>
      <c r="I230" s="586">
        <v>26.94</v>
      </c>
      <c r="J230" s="586">
        <v>26.28</v>
      </c>
      <c r="K230" s="586">
        <v>28.31</v>
      </c>
    </row>
    <row r="231" spans="1:11">
      <c r="A231" s="586" t="s">
        <v>64</v>
      </c>
      <c r="C231" s="591">
        <v>26.18</v>
      </c>
      <c r="D231" s="586">
        <v>25.87</v>
      </c>
      <c r="E231" s="586">
        <v>25.52</v>
      </c>
      <c r="F231" s="586">
        <v>26.76</v>
      </c>
      <c r="G231" s="586">
        <v>25.79</v>
      </c>
      <c r="H231" s="586">
        <v>26.09</v>
      </c>
      <c r="I231" s="586">
        <v>26.09</v>
      </c>
      <c r="J231" s="586">
        <v>26.35</v>
      </c>
      <c r="K231" s="586">
        <v>26.83</v>
      </c>
    </row>
    <row r="232" spans="1:11">
      <c r="A232" s="586" t="s">
        <v>65</v>
      </c>
      <c r="C232" s="591">
        <v>22.59</v>
      </c>
      <c r="D232" s="586">
        <v>21.57</v>
      </c>
      <c r="E232" s="586">
        <v>21.98</v>
      </c>
      <c r="F232" s="586">
        <v>23</v>
      </c>
      <c r="G232" s="586">
        <v>22.07</v>
      </c>
      <c r="H232" s="586">
        <v>21.93</v>
      </c>
      <c r="I232" s="586">
        <v>21.93</v>
      </c>
      <c r="J232" s="586">
        <v>22.93</v>
      </c>
      <c r="K232" s="586">
        <v>23.51</v>
      </c>
    </row>
    <row r="233" spans="1:11">
      <c r="A233" s="586" t="s">
        <v>66</v>
      </c>
      <c r="C233" s="591">
        <v>16.010000000000002</v>
      </c>
      <c r="D233" s="586">
        <v>16.68</v>
      </c>
      <c r="E233" s="586">
        <v>16.25</v>
      </c>
      <c r="F233" s="586">
        <v>15.97</v>
      </c>
      <c r="G233" s="586">
        <v>16.22</v>
      </c>
      <c r="H233" s="586">
        <v>16.59</v>
      </c>
      <c r="I233" s="586">
        <v>16.59</v>
      </c>
      <c r="J233" s="586">
        <v>17.309999999999999</v>
      </c>
      <c r="K233" s="586">
        <v>18.46</v>
      </c>
    </row>
    <row r="234" spans="1:11">
      <c r="C234" s="591"/>
    </row>
    <row r="235" spans="1:11">
      <c r="B235" s="586">
        <f>SUM(B225:B233)</f>
        <v>0</v>
      </c>
      <c r="C235" s="586">
        <f t="shared" ref="C235:K235" si="36">SUM(C225:C233)</f>
        <v>202.49</v>
      </c>
      <c r="D235" s="586">
        <f t="shared" si="36"/>
        <v>208.53</v>
      </c>
      <c r="E235" s="586">
        <f t="shared" si="36"/>
        <v>202.81</v>
      </c>
      <c r="F235" s="586">
        <f t="shared" si="36"/>
        <v>203.29999999999998</v>
      </c>
      <c r="G235" s="586">
        <f t="shared" si="36"/>
        <v>202.96999999999997</v>
      </c>
      <c r="H235" s="586">
        <f t="shared" si="36"/>
        <v>201.72</v>
      </c>
      <c r="I235" s="586">
        <f t="shared" si="36"/>
        <v>201.72</v>
      </c>
      <c r="J235" s="586">
        <f t="shared" si="36"/>
        <v>199.93</v>
      </c>
      <c r="K235" s="586">
        <f t="shared" si="36"/>
        <v>205.80999999999997</v>
      </c>
    </row>
    <row r="236" spans="1:11">
      <c r="C236" s="591"/>
      <c r="H236" s="593">
        <f t="shared" ref="H236:K236" si="37">H235/(280*0.9)</f>
        <v>0.80047619047619045</v>
      </c>
      <c r="I236" s="593">
        <f t="shared" si="37"/>
        <v>0.80047619047619045</v>
      </c>
      <c r="J236" s="593">
        <f t="shared" si="37"/>
        <v>0.7933730158730159</v>
      </c>
      <c r="K236" s="593">
        <f t="shared" si="37"/>
        <v>0.8167063492063491</v>
      </c>
    </row>
    <row r="237" spans="1:11">
      <c r="A237" s="586" t="s">
        <v>526</v>
      </c>
      <c r="C237" s="591"/>
    </row>
    <row r="238" spans="1:11">
      <c r="A238" s="586" t="s">
        <v>59</v>
      </c>
      <c r="C238" s="591">
        <v>11.28</v>
      </c>
      <c r="D238" s="586">
        <v>11.82</v>
      </c>
      <c r="E238" s="586">
        <v>10.1</v>
      </c>
      <c r="F238" s="586">
        <v>10.89</v>
      </c>
      <c r="G238" s="586">
        <v>10.82</v>
      </c>
      <c r="H238" s="586">
        <v>9.16</v>
      </c>
      <c r="I238" s="586">
        <v>9.16</v>
      </c>
      <c r="J238" s="586">
        <v>10.47</v>
      </c>
      <c r="K238" s="586">
        <v>10.39</v>
      </c>
    </row>
    <row r="239" spans="1:11">
      <c r="A239" s="592" t="s">
        <v>262</v>
      </c>
      <c r="C239" s="591">
        <v>22.47</v>
      </c>
      <c r="D239" s="586">
        <v>19.88</v>
      </c>
      <c r="E239" s="586">
        <v>20.059999999999999</v>
      </c>
      <c r="F239" s="586">
        <v>21.04</v>
      </c>
      <c r="G239" s="586">
        <v>19.86</v>
      </c>
      <c r="H239" s="586">
        <v>17.53</v>
      </c>
      <c r="I239" s="586">
        <v>17.53</v>
      </c>
      <c r="J239" s="586">
        <v>18.47</v>
      </c>
      <c r="K239" s="586">
        <v>19.7</v>
      </c>
    </row>
    <row r="240" spans="1:11">
      <c r="A240" s="586" t="s">
        <v>60</v>
      </c>
      <c r="C240" s="591">
        <v>22.6</v>
      </c>
      <c r="D240" s="586">
        <v>21.51</v>
      </c>
      <c r="E240" s="586">
        <v>21.8</v>
      </c>
      <c r="F240" s="586">
        <v>22.22</v>
      </c>
      <c r="G240" s="586">
        <v>22.23</v>
      </c>
      <c r="H240" s="586">
        <v>21.5</v>
      </c>
      <c r="I240" s="586">
        <v>21.5</v>
      </c>
      <c r="J240" s="586">
        <v>21.74</v>
      </c>
      <c r="K240" s="586">
        <v>21.15</v>
      </c>
    </row>
    <row r="241" spans="1:11">
      <c r="A241" s="586" t="s">
        <v>61</v>
      </c>
      <c r="C241" s="591">
        <v>18.37</v>
      </c>
      <c r="D241" s="586">
        <v>17.440000000000001</v>
      </c>
      <c r="E241" s="586">
        <v>17.7</v>
      </c>
      <c r="F241" s="586">
        <v>17.89</v>
      </c>
      <c r="G241" s="586">
        <v>18.45</v>
      </c>
      <c r="H241" s="586">
        <v>18.61</v>
      </c>
      <c r="I241" s="586">
        <v>18.61</v>
      </c>
      <c r="J241" s="586">
        <v>19.11</v>
      </c>
      <c r="K241" s="586">
        <v>18.16</v>
      </c>
    </row>
    <row r="242" spans="1:11">
      <c r="A242" s="586" t="s">
        <v>62</v>
      </c>
      <c r="C242" s="591">
        <v>14.27</v>
      </c>
      <c r="D242" s="586">
        <v>14.29</v>
      </c>
      <c r="E242" s="586">
        <v>14.6</v>
      </c>
      <c r="F242" s="586">
        <v>14.19</v>
      </c>
      <c r="G242" s="586">
        <v>14.21</v>
      </c>
      <c r="H242" s="586">
        <v>14.69</v>
      </c>
      <c r="I242" s="586">
        <v>14.69</v>
      </c>
      <c r="J242" s="586">
        <v>14.41</v>
      </c>
      <c r="K242" s="586">
        <v>14.45</v>
      </c>
    </row>
    <row r="243" spans="1:11">
      <c r="A243" s="586" t="s">
        <v>63</v>
      </c>
      <c r="C243" s="591">
        <v>22.15</v>
      </c>
      <c r="D243" s="586">
        <v>23.66</v>
      </c>
      <c r="E243" s="586">
        <v>22.48</v>
      </c>
      <c r="F243" s="586">
        <v>22.46</v>
      </c>
      <c r="G243" s="586">
        <v>22.02</v>
      </c>
      <c r="H243" s="586">
        <v>21.7</v>
      </c>
      <c r="I243" s="586">
        <v>21.7</v>
      </c>
      <c r="J243" s="586">
        <v>22.38</v>
      </c>
      <c r="K243" s="586">
        <v>24.1</v>
      </c>
    </row>
    <row r="244" spans="1:11">
      <c r="A244" s="586" t="s">
        <v>64</v>
      </c>
      <c r="C244" s="591">
        <v>28.96</v>
      </c>
      <c r="D244" s="586">
        <v>32.130000000000003</v>
      </c>
      <c r="E244" s="586">
        <v>30.35</v>
      </c>
      <c r="F244" s="586">
        <v>29.86</v>
      </c>
      <c r="G244" s="586">
        <v>29.41</v>
      </c>
      <c r="H244" s="586">
        <v>30.39</v>
      </c>
      <c r="I244" s="586">
        <v>30.39</v>
      </c>
      <c r="J244" s="586">
        <v>29.81</v>
      </c>
      <c r="K244" s="586">
        <v>29.52</v>
      </c>
    </row>
    <row r="245" spans="1:11">
      <c r="A245" s="586" t="s">
        <v>65</v>
      </c>
      <c r="C245" s="591">
        <v>33.700000000000003</v>
      </c>
      <c r="D245" s="586">
        <v>34.78</v>
      </c>
      <c r="E245" s="586">
        <v>35.89</v>
      </c>
      <c r="F245" s="586">
        <v>33.11</v>
      </c>
      <c r="G245" s="586">
        <v>31.45</v>
      </c>
      <c r="H245" s="586">
        <v>33.94</v>
      </c>
      <c r="I245" s="586">
        <v>33.94</v>
      </c>
      <c r="J245" s="586">
        <v>33.54</v>
      </c>
      <c r="K245" s="586">
        <v>33.42</v>
      </c>
    </row>
    <row r="246" spans="1:11">
      <c r="A246" s="586" t="s">
        <v>66</v>
      </c>
      <c r="C246" s="591">
        <v>36.869999999999997</v>
      </c>
      <c r="D246" s="586">
        <v>37.44</v>
      </c>
      <c r="E246" s="586">
        <v>38.18</v>
      </c>
      <c r="F246" s="586">
        <v>37</v>
      </c>
      <c r="G246" s="586">
        <v>37.340000000000003</v>
      </c>
      <c r="H246" s="586">
        <v>37.14</v>
      </c>
      <c r="I246" s="586">
        <v>37.14</v>
      </c>
      <c r="J246" s="586">
        <v>37.630000000000003</v>
      </c>
      <c r="K246" s="586">
        <v>37.380000000000003</v>
      </c>
    </row>
    <row r="247" spans="1:11">
      <c r="C247" s="591"/>
    </row>
    <row r="248" spans="1:11">
      <c r="B248" s="586">
        <f>SUM(B238:B246)</f>
        <v>0</v>
      </c>
      <c r="C248" s="586">
        <f t="shared" ref="C248:K248" si="38">SUM(C238:C246)</f>
        <v>210.67000000000002</v>
      </c>
      <c r="D248" s="586">
        <f t="shared" si="38"/>
        <v>212.95</v>
      </c>
      <c r="E248" s="586">
        <f t="shared" si="38"/>
        <v>211.16000000000003</v>
      </c>
      <c r="F248" s="586">
        <f t="shared" si="38"/>
        <v>208.66000000000003</v>
      </c>
      <c r="G248" s="586">
        <f t="shared" si="38"/>
        <v>205.79</v>
      </c>
      <c r="H248" s="586">
        <f t="shared" si="38"/>
        <v>204.65999999999997</v>
      </c>
      <c r="I248" s="586">
        <f t="shared" si="38"/>
        <v>204.65999999999997</v>
      </c>
      <c r="J248" s="586">
        <f t="shared" si="38"/>
        <v>207.55999999999997</v>
      </c>
      <c r="K248" s="586">
        <f t="shared" si="38"/>
        <v>208.26999999999998</v>
      </c>
    </row>
    <row r="249" spans="1:11">
      <c r="C249" s="591"/>
      <c r="H249" s="593">
        <f t="shared" ref="H249:K249" si="39">H248/(280*0.9)</f>
        <v>0.81214285714285706</v>
      </c>
      <c r="I249" s="593">
        <f t="shared" si="39"/>
        <v>0.81214285714285706</v>
      </c>
      <c r="J249" s="593">
        <f t="shared" si="39"/>
        <v>0.82365079365079352</v>
      </c>
      <c r="K249" s="593">
        <f t="shared" si="39"/>
        <v>0.82646825396825385</v>
      </c>
    </row>
    <row r="250" spans="1:11">
      <c r="A250" s="586" t="s">
        <v>531</v>
      </c>
      <c r="C250" s="591"/>
    </row>
    <row r="251" spans="1:11">
      <c r="A251" s="586" t="s">
        <v>59</v>
      </c>
      <c r="C251" s="591">
        <v>10.130000000000001</v>
      </c>
      <c r="D251" s="586">
        <v>10.49</v>
      </c>
      <c r="E251" s="586">
        <v>8.64</v>
      </c>
      <c r="F251" s="586">
        <v>8.75</v>
      </c>
      <c r="G251" s="590"/>
      <c r="H251" s="586">
        <v>7.64</v>
      </c>
      <c r="I251" s="586">
        <v>7.64</v>
      </c>
      <c r="J251" s="586">
        <v>10.119999999999999</v>
      </c>
      <c r="K251" s="586">
        <v>8.2799999999999994</v>
      </c>
    </row>
    <row r="252" spans="1:11">
      <c r="A252" s="592" t="s">
        <v>262</v>
      </c>
      <c r="C252" s="591">
        <v>22.43</v>
      </c>
      <c r="D252" s="586">
        <v>22.28</v>
      </c>
      <c r="E252" s="586">
        <v>22.53</v>
      </c>
      <c r="F252" s="586">
        <v>22.38</v>
      </c>
      <c r="G252" s="590"/>
      <c r="H252" s="586">
        <v>21.19</v>
      </c>
      <c r="I252" s="586">
        <v>21.19</v>
      </c>
      <c r="J252" s="586">
        <v>21.08</v>
      </c>
      <c r="K252" s="586">
        <v>21.81</v>
      </c>
    </row>
    <row r="253" spans="1:11">
      <c r="A253" s="586" t="s">
        <v>60</v>
      </c>
      <c r="C253" s="591">
        <v>22.59</v>
      </c>
      <c r="D253" s="586">
        <v>23.06</v>
      </c>
      <c r="E253" s="586">
        <v>22.01</v>
      </c>
      <c r="F253" s="586">
        <v>22.86</v>
      </c>
      <c r="G253" s="590"/>
      <c r="H253" s="586">
        <v>22.68</v>
      </c>
      <c r="I253" s="586">
        <v>22.68</v>
      </c>
      <c r="J253" s="586">
        <v>21.27</v>
      </c>
      <c r="K253" s="586">
        <v>23</v>
      </c>
    </row>
    <row r="254" spans="1:11">
      <c r="A254" s="586" t="s">
        <v>61</v>
      </c>
      <c r="C254" s="591">
        <v>24.2</v>
      </c>
      <c r="D254" s="586">
        <v>25.26</v>
      </c>
      <c r="E254" s="586">
        <v>23.38</v>
      </c>
      <c r="F254" s="586">
        <v>25.09</v>
      </c>
      <c r="G254" s="590"/>
      <c r="H254" s="586">
        <v>24.55</v>
      </c>
      <c r="I254" s="586">
        <v>24.55</v>
      </c>
      <c r="J254" s="586">
        <v>23.16</v>
      </c>
      <c r="K254" s="586">
        <v>25.26</v>
      </c>
    </row>
    <row r="255" spans="1:11">
      <c r="A255" s="586" t="s">
        <v>62</v>
      </c>
      <c r="C255" s="591">
        <v>23.77</v>
      </c>
      <c r="D255" s="586">
        <v>23.75</v>
      </c>
      <c r="E255" s="586">
        <v>21.93</v>
      </c>
      <c r="F255" s="586">
        <v>23.32</v>
      </c>
      <c r="G255" s="590"/>
      <c r="H255" s="586">
        <v>23.66</v>
      </c>
      <c r="I255" s="586">
        <v>23.66</v>
      </c>
      <c r="J255" s="586">
        <v>23.41</v>
      </c>
      <c r="K255" s="586">
        <v>24.09</v>
      </c>
    </row>
    <row r="256" spans="1:11">
      <c r="A256" s="586" t="s">
        <v>63</v>
      </c>
      <c r="C256" s="591">
        <v>19.420000000000002</v>
      </c>
      <c r="D256" s="586">
        <v>18.899999999999999</v>
      </c>
      <c r="E256" s="586">
        <v>18.77</v>
      </c>
      <c r="F256" s="586">
        <v>19.64</v>
      </c>
      <c r="G256" s="590"/>
      <c r="H256" s="586">
        <v>19.2</v>
      </c>
      <c r="I256" s="586">
        <v>19.2</v>
      </c>
      <c r="J256" s="586">
        <v>20.61</v>
      </c>
      <c r="K256" s="586">
        <v>21.2</v>
      </c>
    </row>
    <row r="257" spans="1:11">
      <c r="A257" s="586" t="s">
        <v>64</v>
      </c>
      <c r="C257" s="591">
        <v>16.73</v>
      </c>
      <c r="D257" s="586">
        <v>16.559999999999999</v>
      </c>
      <c r="E257" s="586">
        <v>16.75</v>
      </c>
      <c r="F257" s="586">
        <v>17.420000000000002</v>
      </c>
      <c r="G257" s="590"/>
      <c r="H257" s="586">
        <v>17.690000000000001</v>
      </c>
      <c r="I257" s="586">
        <v>17.690000000000001</v>
      </c>
      <c r="J257" s="586">
        <v>19.45</v>
      </c>
      <c r="K257" s="586">
        <v>20.99</v>
      </c>
    </row>
    <row r="258" spans="1:11">
      <c r="A258" s="586" t="s">
        <v>65</v>
      </c>
      <c r="C258" s="591">
        <v>19.489999999999998</v>
      </c>
      <c r="D258" s="586">
        <v>19.71</v>
      </c>
      <c r="E258" s="586">
        <v>19.71</v>
      </c>
      <c r="F258" s="586">
        <v>20</v>
      </c>
      <c r="G258" s="590"/>
      <c r="H258" s="586">
        <v>20.7</v>
      </c>
      <c r="I258" s="586">
        <v>20.7</v>
      </c>
      <c r="J258" s="586">
        <v>22.95</v>
      </c>
      <c r="K258" s="586">
        <v>25.48</v>
      </c>
    </row>
    <row r="259" spans="1:11">
      <c r="A259" s="586" t="s">
        <v>66</v>
      </c>
      <c r="C259" s="591">
        <v>22.88</v>
      </c>
      <c r="D259" s="586">
        <v>22.95</v>
      </c>
      <c r="E259" s="586">
        <v>23.42</v>
      </c>
      <c r="F259" s="586">
        <v>23.68</v>
      </c>
      <c r="G259" s="590"/>
      <c r="H259" s="586">
        <v>24.02</v>
      </c>
      <c r="I259" s="586">
        <v>24.02</v>
      </c>
      <c r="J259" s="586">
        <v>26.83</v>
      </c>
      <c r="K259" s="586">
        <v>28.39</v>
      </c>
    </row>
    <row r="260" spans="1:11">
      <c r="C260" s="591"/>
      <c r="G260" s="590"/>
    </row>
    <row r="261" spans="1:11">
      <c r="B261" s="586">
        <f>SUM(B251:B259)</f>
        <v>0</v>
      </c>
      <c r="C261" s="586">
        <f t="shared" ref="C261:K261" si="40">SUM(C251:C259)</f>
        <v>181.64000000000001</v>
      </c>
      <c r="D261" s="586">
        <f t="shared" si="40"/>
        <v>182.96</v>
      </c>
      <c r="E261" s="586">
        <f t="shared" si="40"/>
        <v>177.14</v>
      </c>
      <c r="F261" s="586">
        <f t="shared" si="40"/>
        <v>183.14000000000001</v>
      </c>
      <c r="G261" s="590">
        <f t="shared" si="40"/>
        <v>0</v>
      </c>
      <c r="H261" s="586">
        <f t="shared" si="40"/>
        <v>181.33</v>
      </c>
      <c r="I261" s="586">
        <f t="shared" si="40"/>
        <v>181.33</v>
      </c>
      <c r="J261" s="586">
        <f t="shared" si="40"/>
        <v>188.88</v>
      </c>
      <c r="K261" s="586">
        <f t="shared" si="40"/>
        <v>198.5</v>
      </c>
    </row>
    <row r="262" spans="1:11">
      <c r="C262" s="591"/>
      <c r="G262" s="590"/>
      <c r="H262" s="593">
        <f t="shared" ref="H262:K262" si="41">H261/(280*0.9)</f>
        <v>0.71956349206349213</v>
      </c>
      <c r="I262" s="593">
        <f t="shared" si="41"/>
        <v>0.71956349206349213</v>
      </c>
      <c r="J262" s="593">
        <f t="shared" si="41"/>
        <v>0.74952380952380948</v>
      </c>
      <c r="K262" s="593">
        <f t="shared" si="41"/>
        <v>0.78769841269841268</v>
      </c>
    </row>
    <row r="263" spans="1:11">
      <c r="A263" s="586" t="s">
        <v>541</v>
      </c>
      <c r="C263" s="591"/>
      <c r="G263" s="590"/>
    </row>
    <row r="264" spans="1:11">
      <c r="A264" s="586" t="s">
        <v>59</v>
      </c>
      <c r="C264" s="591">
        <v>10.74</v>
      </c>
      <c r="D264" s="586">
        <v>9.77</v>
      </c>
      <c r="E264" s="586">
        <v>9.66</v>
      </c>
      <c r="F264" s="586">
        <v>6.82</v>
      </c>
      <c r="G264" s="590"/>
      <c r="H264" s="586">
        <v>10.45</v>
      </c>
      <c r="I264" s="586">
        <v>10.45</v>
      </c>
      <c r="J264" s="586">
        <v>8.27</v>
      </c>
      <c r="K264" s="586">
        <v>6.63</v>
      </c>
    </row>
    <row r="265" spans="1:11">
      <c r="A265" s="592" t="s">
        <v>262</v>
      </c>
      <c r="C265" s="591">
        <v>19.89</v>
      </c>
      <c r="D265" s="586">
        <v>18.55</v>
      </c>
      <c r="E265" s="586">
        <v>19.16</v>
      </c>
      <c r="F265" s="586">
        <v>17.28</v>
      </c>
      <c r="G265" s="590"/>
      <c r="H265" s="586">
        <v>18.899999999999999</v>
      </c>
      <c r="I265" s="586">
        <v>18.899999999999999</v>
      </c>
      <c r="J265" s="586">
        <v>17.100000000000001</v>
      </c>
      <c r="K265" s="586">
        <v>16.010000000000002</v>
      </c>
    </row>
    <row r="266" spans="1:11">
      <c r="A266" s="586" t="s">
        <v>60</v>
      </c>
      <c r="C266" s="591">
        <v>19.22</v>
      </c>
      <c r="D266" s="586">
        <v>19.329999999999998</v>
      </c>
      <c r="E266" s="586">
        <v>19.47</v>
      </c>
      <c r="F266" s="586">
        <v>18.34</v>
      </c>
      <c r="G266" s="590"/>
      <c r="H266" s="586">
        <v>20.420000000000002</v>
      </c>
      <c r="I266" s="586">
        <v>20.420000000000002</v>
      </c>
      <c r="J266" s="586">
        <v>18.8</v>
      </c>
      <c r="K266" s="586">
        <v>19.22</v>
      </c>
    </row>
    <row r="267" spans="1:11">
      <c r="A267" s="586" t="s">
        <v>61</v>
      </c>
      <c r="C267" s="591">
        <v>22.02</v>
      </c>
      <c r="D267" s="586">
        <v>22.49</v>
      </c>
      <c r="E267" s="586">
        <v>22.03</v>
      </c>
      <c r="F267" s="586">
        <v>21.84</v>
      </c>
      <c r="G267" s="590"/>
      <c r="H267" s="586">
        <v>23.1</v>
      </c>
      <c r="I267" s="586">
        <v>23.1</v>
      </c>
      <c r="J267" s="586">
        <v>22.75</v>
      </c>
      <c r="K267" s="586">
        <v>23</v>
      </c>
    </row>
    <row r="268" spans="1:11">
      <c r="A268" s="586" t="s">
        <v>62</v>
      </c>
      <c r="C268" s="591">
        <v>22.74</v>
      </c>
      <c r="D268" s="586">
        <v>22.85</v>
      </c>
      <c r="E268" s="586">
        <v>22.73</v>
      </c>
      <c r="F268" s="586">
        <v>22.61</v>
      </c>
      <c r="G268" s="590"/>
      <c r="H268" s="586">
        <v>23.41</v>
      </c>
      <c r="I268" s="586">
        <v>23.41</v>
      </c>
      <c r="J268" s="586">
        <v>23.6</v>
      </c>
      <c r="K268" s="586">
        <v>24.45</v>
      </c>
    </row>
    <row r="269" spans="1:11">
      <c r="A269" s="586" t="s">
        <v>63</v>
      </c>
      <c r="C269" s="591">
        <v>23.37</v>
      </c>
      <c r="D269" s="586">
        <v>23.31</v>
      </c>
      <c r="E269" s="586">
        <v>23.67</v>
      </c>
      <c r="F269" s="586">
        <v>23.37</v>
      </c>
      <c r="G269" s="590"/>
      <c r="H269" s="586">
        <v>23.68</v>
      </c>
      <c r="I269" s="586">
        <v>23.68</v>
      </c>
      <c r="J269" s="586">
        <v>23.98</v>
      </c>
      <c r="K269" s="586">
        <v>23.79</v>
      </c>
    </row>
    <row r="270" spans="1:11">
      <c r="A270" s="586" t="s">
        <v>64</v>
      </c>
      <c r="C270" s="591">
        <v>24.9</v>
      </c>
      <c r="D270" s="586">
        <v>26.41</v>
      </c>
      <c r="E270" s="586">
        <v>25.74</v>
      </c>
      <c r="F270" s="586">
        <v>25.83</v>
      </c>
      <c r="G270" s="590"/>
      <c r="H270" s="586">
        <v>25.67</v>
      </c>
      <c r="I270" s="586">
        <v>25.67</v>
      </c>
      <c r="J270" s="586">
        <v>25.59</v>
      </c>
      <c r="K270" s="586">
        <v>25.39</v>
      </c>
    </row>
    <row r="271" spans="1:11">
      <c r="A271" s="586" t="s">
        <v>65</v>
      </c>
      <c r="C271" s="591">
        <v>25.73</v>
      </c>
      <c r="D271" s="586">
        <v>26.2</v>
      </c>
      <c r="E271" s="586">
        <v>26.49</v>
      </c>
      <c r="F271" s="586">
        <v>26.35</v>
      </c>
      <c r="G271" s="590"/>
      <c r="H271" s="586">
        <v>26.17</v>
      </c>
      <c r="I271" s="586">
        <v>26.17</v>
      </c>
      <c r="J271" s="586">
        <v>26.31</v>
      </c>
      <c r="K271" s="586">
        <v>27.33</v>
      </c>
    </row>
    <row r="272" spans="1:11">
      <c r="A272" s="586" t="s">
        <v>66</v>
      </c>
      <c r="C272" s="591">
        <v>24.97</v>
      </c>
      <c r="D272" s="586">
        <v>24.76</v>
      </c>
      <c r="E272" s="586">
        <v>25.12</v>
      </c>
      <c r="F272" s="586">
        <v>25.28</v>
      </c>
      <c r="G272" s="590"/>
      <c r="H272" s="586">
        <v>25.28</v>
      </c>
      <c r="I272" s="586">
        <v>25.28</v>
      </c>
      <c r="J272" s="586">
        <v>26.09</v>
      </c>
      <c r="K272" s="586">
        <v>26.37</v>
      </c>
    </row>
    <row r="273" spans="1:11">
      <c r="C273" s="591"/>
      <c r="G273" s="590"/>
    </row>
    <row r="274" spans="1:11">
      <c r="B274" s="586">
        <f>SUM(B264:B272)</f>
        <v>0</v>
      </c>
      <c r="C274" s="586">
        <f t="shared" ref="C274:K274" si="42">SUM(C264:C272)</f>
        <v>193.57999999999998</v>
      </c>
      <c r="D274" s="586">
        <f t="shared" si="42"/>
        <v>193.67</v>
      </c>
      <c r="E274" s="586">
        <f t="shared" si="42"/>
        <v>194.07000000000002</v>
      </c>
      <c r="F274" s="586">
        <f t="shared" si="42"/>
        <v>187.72</v>
      </c>
      <c r="G274" s="590">
        <f t="shared" si="42"/>
        <v>0</v>
      </c>
      <c r="H274" s="586">
        <f t="shared" si="42"/>
        <v>197.08</v>
      </c>
      <c r="I274" s="586">
        <f t="shared" si="42"/>
        <v>197.08</v>
      </c>
      <c r="J274" s="586">
        <f t="shared" si="42"/>
        <v>192.49</v>
      </c>
      <c r="K274" s="586">
        <f t="shared" si="42"/>
        <v>192.19</v>
      </c>
    </row>
    <row r="275" spans="1:11">
      <c r="C275" s="591"/>
      <c r="G275" s="590"/>
      <c r="H275" s="593">
        <f t="shared" ref="H275:K275" si="43">H274/(280*0.9)</f>
        <v>0.78206349206349213</v>
      </c>
      <c r="I275" s="593">
        <f t="shared" si="43"/>
        <v>0.78206349206349213</v>
      </c>
      <c r="J275" s="593">
        <f t="shared" si="43"/>
        <v>0.76384920634920639</v>
      </c>
      <c r="K275" s="593">
        <f t="shared" si="43"/>
        <v>0.7626587301587302</v>
      </c>
    </row>
    <row r="276" spans="1:11">
      <c r="A276" s="586" t="s">
        <v>537</v>
      </c>
      <c r="C276" s="591"/>
      <c r="G276" s="590"/>
    </row>
    <row r="277" spans="1:11">
      <c r="A277" s="586" t="s">
        <v>59</v>
      </c>
      <c r="C277" s="591">
        <v>12.5</v>
      </c>
      <c r="D277" s="586">
        <v>12.44</v>
      </c>
      <c r="E277" s="586">
        <v>12.81</v>
      </c>
      <c r="F277" s="586">
        <v>14.18</v>
      </c>
      <c r="G277" s="590"/>
      <c r="H277" s="586">
        <v>13.52</v>
      </c>
      <c r="I277" s="586">
        <v>13.52</v>
      </c>
      <c r="J277" s="586">
        <v>12.48</v>
      </c>
      <c r="K277" s="586">
        <v>5.42</v>
      </c>
    </row>
    <row r="278" spans="1:11">
      <c r="A278" s="592" t="s">
        <v>262</v>
      </c>
      <c r="C278" s="591">
        <v>23.68</v>
      </c>
      <c r="D278" s="586">
        <v>23.21</v>
      </c>
      <c r="E278" s="586">
        <v>22.27</v>
      </c>
      <c r="F278" s="586">
        <v>22.25</v>
      </c>
      <c r="G278" s="590"/>
      <c r="H278" s="586">
        <v>22.48</v>
      </c>
      <c r="I278" s="586">
        <v>22.48</v>
      </c>
      <c r="J278" s="586">
        <v>21.95</v>
      </c>
      <c r="K278" s="586">
        <v>22.1</v>
      </c>
    </row>
    <row r="279" spans="1:11">
      <c r="A279" s="586" t="s">
        <v>60</v>
      </c>
      <c r="C279" s="591">
        <v>21.89</v>
      </c>
      <c r="D279" s="586">
        <v>21.8</v>
      </c>
      <c r="E279" s="586">
        <v>21.63</v>
      </c>
      <c r="F279" s="586">
        <v>22.25</v>
      </c>
      <c r="G279" s="590"/>
      <c r="H279" s="586">
        <v>22.11</v>
      </c>
      <c r="I279" s="586">
        <v>22.11</v>
      </c>
      <c r="J279" s="586">
        <v>21.2</v>
      </c>
      <c r="K279" s="586">
        <v>21.84</v>
      </c>
    </row>
    <row r="280" spans="1:11">
      <c r="A280" s="586" t="s">
        <v>61</v>
      </c>
      <c r="C280" s="591">
        <v>20.059999999999999</v>
      </c>
      <c r="D280" s="586">
        <v>20.89</v>
      </c>
      <c r="E280" s="586">
        <v>18.93</v>
      </c>
      <c r="F280" s="586">
        <v>21.03</v>
      </c>
      <c r="G280" s="590"/>
      <c r="H280" s="586">
        <v>20.12</v>
      </c>
      <c r="I280" s="586">
        <v>20.12</v>
      </c>
      <c r="J280" s="586">
        <v>19.18</v>
      </c>
      <c r="K280" s="586">
        <v>20.94</v>
      </c>
    </row>
    <row r="281" spans="1:11">
      <c r="A281" s="586" t="s">
        <v>62</v>
      </c>
      <c r="C281" s="591">
        <v>13.92</v>
      </c>
      <c r="D281" s="586">
        <v>14.46</v>
      </c>
      <c r="E281" s="586">
        <v>14.16</v>
      </c>
      <c r="F281" s="586">
        <v>14.4</v>
      </c>
      <c r="G281" s="590"/>
      <c r="H281" s="586">
        <v>14.85</v>
      </c>
      <c r="I281" s="586">
        <v>14.85</v>
      </c>
      <c r="J281" s="586">
        <v>14.1</v>
      </c>
      <c r="K281" s="586">
        <v>13.82</v>
      </c>
    </row>
    <row r="282" spans="1:11">
      <c r="A282" s="586" t="s">
        <v>63</v>
      </c>
      <c r="C282" s="591">
        <v>18.62</v>
      </c>
      <c r="D282" s="586">
        <v>19.36</v>
      </c>
      <c r="E282" s="586">
        <v>21.13</v>
      </c>
      <c r="F282" s="586">
        <v>20.49</v>
      </c>
      <c r="G282" s="590"/>
      <c r="H282" s="586">
        <v>20.75</v>
      </c>
      <c r="I282" s="586">
        <v>20.75</v>
      </c>
      <c r="J282" s="586">
        <v>20.92</v>
      </c>
      <c r="K282" s="586">
        <v>22.21</v>
      </c>
    </row>
    <row r="283" spans="1:11">
      <c r="A283" s="586" t="s">
        <v>64</v>
      </c>
      <c r="C283" s="591">
        <v>28.72</v>
      </c>
      <c r="D283" s="586">
        <v>31.03</v>
      </c>
      <c r="E283" s="586">
        <v>31.96</v>
      </c>
      <c r="F283" s="586">
        <v>29.98</v>
      </c>
      <c r="G283" s="590"/>
      <c r="H283" s="586">
        <v>30.65</v>
      </c>
      <c r="I283" s="586">
        <v>30.65</v>
      </c>
      <c r="J283" s="586">
        <v>29.56</v>
      </c>
      <c r="K283" s="586">
        <v>34.24</v>
      </c>
    </row>
    <row r="284" spans="1:11">
      <c r="A284" s="586" t="s">
        <v>65</v>
      </c>
      <c r="C284" s="591">
        <v>37.49</v>
      </c>
      <c r="D284" s="586">
        <v>37.29</v>
      </c>
      <c r="E284" s="586">
        <v>38.47</v>
      </c>
      <c r="F284" s="586">
        <v>38.159999999999997</v>
      </c>
      <c r="G284" s="590"/>
      <c r="H284" s="586">
        <v>37.520000000000003</v>
      </c>
      <c r="I284" s="586">
        <v>37.520000000000003</v>
      </c>
      <c r="J284" s="586">
        <v>39.29</v>
      </c>
      <c r="K284" s="586">
        <v>38.78</v>
      </c>
    </row>
    <row r="285" spans="1:11">
      <c r="A285" s="586" t="s">
        <v>66</v>
      </c>
      <c r="C285" s="591">
        <v>38.53</v>
      </c>
      <c r="D285" s="586">
        <v>37.909999999999997</v>
      </c>
      <c r="E285" s="586">
        <v>38.85</v>
      </c>
      <c r="F285" s="586">
        <v>37.79</v>
      </c>
      <c r="G285" s="590"/>
      <c r="H285" s="586">
        <v>37.71</v>
      </c>
      <c r="I285" s="586">
        <v>37.71</v>
      </c>
      <c r="J285" s="586">
        <v>38.26</v>
      </c>
      <c r="K285" s="586">
        <v>38.32</v>
      </c>
    </row>
    <row r="286" spans="1:11">
      <c r="C286" s="591"/>
      <c r="G286" s="590"/>
    </row>
    <row r="287" spans="1:11">
      <c r="B287" s="586">
        <f>SUM(B277:B285)</f>
        <v>0</v>
      </c>
      <c r="C287" s="586">
        <f t="shared" ref="C287:K287" si="44">SUM(C277:C285)</f>
        <v>215.41</v>
      </c>
      <c r="D287" s="586">
        <f t="shared" si="44"/>
        <v>218.39</v>
      </c>
      <c r="E287" s="586">
        <f t="shared" si="44"/>
        <v>220.20999999999998</v>
      </c>
      <c r="F287" s="586">
        <f t="shared" si="44"/>
        <v>220.53</v>
      </c>
      <c r="G287" s="590">
        <f t="shared" si="44"/>
        <v>0</v>
      </c>
      <c r="H287" s="586">
        <f t="shared" si="44"/>
        <v>219.71</v>
      </c>
      <c r="I287" s="586">
        <f t="shared" si="44"/>
        <v>219.71</v>
      </c>
      <c r="J287" s="586">
        <f t="shared" si="44"/>
        <v>216.93999999999997</v>
      </c>
      <c r="K287" s="586">
        <f t="shared" si="44"/>
        <v>217.67000000000002</v>
      </c>
    </row>
    <row r="288" spans="1:11">
      <c r="C288" s="591"/>
      <c r="G288" s="590"/>
      <c r="H288" s="593">
        <f t="shared" ref="H288:K288" si="45">H287/(280*0.9)</f>
        <v>0.8718650793650794</v>
      </c>
      <c r="I288" s="593">
        <f t="shared" si="45"/>
        <v>0.8718650793650794</v>
      </c>
      <c r="J288" s="593">
        <f t="shared" si="45"/>
        <v>0.86087301587301579</v>
      </c>
      <c r="K288" s="593">
        <f t="shared" si="45"/>
        <v>0.86376984126984135</v>
      </c>
    </row>
    <row r="289" spans="1:11">
      <c r="A289" s="586" t="s">
        <v>543</v>
      </c>
      <c r="C289" s="591"/>
      <c r="G289" s="590"/>
    </row>
    <row r="290" spans="1:11">
      <c r="A290" s="586" t="s">
        <v>59</v>
      </c>
      <c r="C290" s="591">
        <v>10.66</v>
      </c>
      <c r="D290" s="586">
        <v>14.26</v>
      </c>
      <c r="E290" s="586">
        <v>8.61</v>
      </c>
      <c r="F290" s="586">
        <v>14.78</v>
      </c>
      <c r="G290" s="590"/>
      <c r="H290" s="586">
        <v>9.8800000000000008</v>
      </c>
      <c r="I290" s="586">
        <v>9.8800000000000008</v>
      </c>
      <c r="J290" s="586">
        <v>11.67</v>
      </c>
      <c r="K290" s="586">
        <v>9.2799999999999994</v>
      </c>
    </row>
    <row r="291" spans="1:11">
      <c r="A291" s="592" t="s">
        <v>262</v>
      </c>
      <c r="C291" s="591">
        <v>26.92</v>
      </c>
      <c r="D291" s="586">
        <v>25.83</v>
      </c>
      <c r="E291" s="586">
        <v>25.86</v>
      </c>
      <c r="F291" s="586">
        <v>25.18</v>
      </c>
      <c r="G291" s="590"/>
      <c r="H291" s="586">
        <v>25.69</v>
      </c>
      <c r="I291" s="586">
        <v>25.69</v>
      </c>
      <c r="J291" s="586">
        <v>25.52</v>
      </c>
      <c r="K291" s="586">
        <v>24.73</v>
      </c>
    </row>
    <row r="292" spans="1:11">
      <c r="A292" s="586" t="s">
        <v>60</v>
      </c>
      <c r="C292" s="591">
        <v>25.16</v>
      </c>
      <c r="D292" s="586">
        <v>23.94</v>
      </c>
      <c r="E292" s="586">
        <v>24.36</v>
      </c>
      <c r="F292" s="586">
        <v>24.36</v>
      </c>
      <c r="G292" s="590"/>
      <c r="H292" s="586">
        <v>24.58</v>
      </c>
      <c r="I292" s="586">
        <v>24.58</v>
      </c>
      <c r="J292" s="586">
        <v>24.68</v>
      </c>
      <c r="K292" s="586">
        <v>25.43</v>
      </c>
    </row>
    <row r="293" spans="1:11">
      <c r="A293" s="586" t="s">
        <v>61</v>
      </c>
      <c r="C293" s="591">
        <v>24.49</v>
      </c>
      <c r="D293" s="586">
        <v>24.46</v>
      </c>
      <c r="E293" s="586">
        <v>23.87</v>
      </c>
      <c r="F293" s="586">
        <v>23.89</v>
      </c>
      <c r="G293" s="590"/>
      <c r="H293" s="586">
        <v>23.97</v>
      </c>
      <c r="I293" s="586">
        <v>23.97</v>
      </c>
      <c r="J293" s="586">
        <v>24.36</v>
      </c>
      <c r="K293" s="586">
        <v>24.75</v>
      </c>
    </row>
    <row r="294" spans="1:11">
      <c r="A294" s="586" t="s">
        <v>62</v>
      </c>
      <c r="C294" s="591">
        <v>21.47</v>
      </c>
      <c r="D294" s="586">
        <v>19.489999999999998</v>
      </c>
      <c r="E294" s="586">
        <v>19.260000000000002</v>
      </c>
      <c r="F294" s="586">
        <v>21.87</v>
      </c>
      <c r="G294" s="590"/>
      <c r="H294" s="586">
        <v>18.899999999999999</v>
      </c>
      <c r="I294" s="586">
        <v>18.899999999999999</v>
      </c>
      <c r="J294" s="586">
        <v>20.77</v>
      </c>
      <c r="K294" s="586">
        <v>21.71</v>
      </c>
    </row>
    <row r="295" spans="1:11">
      <c r="A295" s="586" t="s">
        <v>63</v>
      </c>
      <c r="C295" s="591">
        <v>14.23</v>
      </c>
      <c r="D295" s="586">
        <v>12.46</v>
      </c>
      <c r="E295" s="586">
        <v>13.3</v>
      </c>
      <c r="F295" s="586">
        <v>13.86</v>
      </c>
      <c r="G295" s="590"/>
      <c r="H295" s="586">
        <v>13.63</v>
      </c>
      <c r="I295" s="586">
        <v>13.63</v>
      </c>
      <c r="J295" s="586">
        <v>14.4</v>
      </c>
      <c r="K295" s="586">
        <v>14.33</v>
      </c>
    </row>
    <row r="296" spans="1:11">
      <c r="A296" s="586" t="s">
        <v>64</v>
      </c>
      <c r="C296" s="591">
        <v>12.71</v>
      </c>
      <c r="D296" s="586">
        <v>12.93</v>
      </c>
      <c r="E296" s="586">
        <v>12.63</v>
      </c>
      <c r="F296" s="586">
        <v>12.63</v>
      </c>
      <c r="G296" s="590"/>
      <c r="H296" s="586">
        <v>12.49</v>
      </c>
      <c r="I296" s="586">
        <v>12.49</v>
      </c>
      <c r="J296" s="586">
        <v>13.5</v>
      </c>
      <c r="K296" s="586">
        <v>13.1</v>
      </c>
    </row>
    <row r="297" spans="1:11">
      <c r="A297" s="586" t="s">
        <v>65</v>
      </c>
      <c r="C297" s="591">
        <v>13.06</v>
      </c>
      <c r="D297" s="586">
        <v>12.52</v>
      </c>
      <c r="E297" s="586">
        <v>12.97</v>
      </c>
      <c r="F297" s="586">
        <v>12.95</v>
      </c>
      <c r="G297" s="590"/>
      <c r="H297" s="586">
        <v>12.96</v>
      </c>
      <c r="I297" s="586">
        <v>12.96</v>
      </c>
      <c r="J297" s="586">
        <v>13.51</v>
      </c>
      <c r="K297" s="586">
        <v>13.6</v>
      </c>
    </row>
    <row r="298" spans="1:11">
      <c r="A298" s="586" t="s">
        <v>66</v>
      </c>
      <c r="C298" s="591">
        <v>14</v>
      </c>
      <c r="D298" s="586">
        <v>13.31</v>
      </c>
      <c r="E298" s="586">
        <v>14.44</v>
      </c>
      <c r="F298" s="586">
        <v>14.99</v>
      </c>
      <c r="G298" s="590"/>
      <c r="H298" s="586">
        <v>14.69</v>
      </c>
      <c r="I298" s="586">
        <v>14.69</v>
      </c>
      <c r="J298" s="586">
        <v>15.49</v>
      </c>
      <c r="K298" s="586">
        <v>15.35</v>
      </c>
    </row>
    <row r="299" spans="1:11">
      <c r="C299" s="591"/>
      <c r="G299" s="590"/>
    </row>
    <row r="300" spans="1:11">
      <c r="B300" s="586">
        <f>SUM(B290:B298)</f>
        <v>0</v>
      </c>
      <c r="C300" s="586">
        <f t="shared" ref="C300:K300" si="46">SUM(C290:C298)</f>
        <v>162.69999999999999</v>
      </c>
      <c r="D300" s="586">
        <f t="shared" si="46"/>
        <v>159.20000000000002</v>
      </c>
      <c r="E300" s="586">
        <f t="shared" si="46"/>
        <v>155.30000000000001</v>
      </c>
      <c r="F300" s="586">
        <f t="shared" si="46"/>
        <v>164.51</v>
      </c>
      <c r="G300" s="590">
        <f t="shared" si="46"/>
        <v>0</v>
      </c>
      <c r="H300" s="586">
        <f t="shared" si="46"/>
        <v>156.79000000000002</v>
      </c>
      <c r="I300" s="586">
        <f t="shared" si="46"/>
        <v>156.79000000000002</v>
      </c>
      <c r="J300" s="586">
        <f t="shared" si="46"/>
        <v>163.89999999999998</v>
      </c>
      <c r="K300" s="586">
        <f t="shared" si="46"/>
        <v>162.28</v>
      </c>
    </row>
    <row r="301" spans="1:11">
      <c r="C301" s="593">
        <f t="shared" ref="C301:F301" si="47">C300/(280*0.9)</f>
        <v>0.64563492063492056</v>
      </c>
      <c r="D301" s="593">
        <f t="shared" si="47"/>
        <v>0.63174603174603183</v>
      </c>
      <c r="E301" s="593">
        <f t="shared" si="47"/>
        <v>0.6162698412698413</v>
      </c>
      <c r="F301" s="593">
        <f t="shared" si="47"/>
        <v>0.65281746031746024</v>
      </c>
      <c r="G301" s="590"/>
      <c r="H301" s="593">
        <f t="shared" ref="H301:K301" si="48">H300/(280*0.9)</f>
        <v>0.62218253968253978</v>
      </c>
      <c r="I301" s="593">
        <f t="shared" si="48"/>
        <v>0.62218253968253978</v>
      </c>
      <c r="J301" s="593">
        <f t="shared" si="48"/>
        <v>0.65039682539682531</v>
      </c>
      <c r="K301" s="593">
        <f t="shared" si="48"/>
        <v>0.64396825396825397</v>
      </c>
    </row>
    <row r="302" spans="1:11">
      <c r="A302" s="586" t="s">
        <v>547</v>
      </c>
      <c r="C302" s="591"/>
      <c r="G302" s="590"/>
    </row>
    <row r="303" spans="1:11">
      <c r="A303" s="586" t="s">
        <v>59</v>
      </c>
      <c r="C303" s="591">
        <v>11.89</v>
      </c>
      <c r="D303" s="586">
        <v>12.71</v>
      </c>
      <c r="E303" s="586">
        <v>13.88</v>
      </c>
      <c r="F303" s="586">
        <v>10.220000000000001</v>
      </c>
      <c r="G303" s="590"/>
      <c r="H303" s="586">
        <v>10.74</v>
      </c>
      <c r="I303" s="586">
        <v>10.74</v>
      </c>
      <c r="J303" s="586">
        <v>8.89</v>
      </c>
      <c r="K303" s="586">
        <v>9.17</v>
      </c>
    </row>
    <row r="304" spans="1:11">
      <c r="A304" s="592" t="s">
        <v>262</v>
      </c>
      <c r="C304" s="591">
        <v>23.02</v>
      </c>
      <c r="D304" s="586">
        <v>22.39</v>
      </c>
      <c r="E304" s="586">
        <v>22.46</v>
      </c>
      <c r="F304" s="586">
        <v>21.24</v>
      </c>
      <c r="G304" s="590"/>
      <c r="H304" s="586">
        <v>21.9</v>
      </c>
      <c r="I304" s="586">
        <v>21.9</v>
      </c>
      <c r="J304" s="586">
        <v>20.75</v>
      </c>
      <c r="K304" s="586">
        <v>19.850000000000001</v>
      </c>
    </row>
    <row r="305" spans="1:11">
      <c r="A305" s="586" t="s">
        <v>60</v>
      </c>
      <c r="C305" s="591">
        <v>23.83</v>
      </c>
      <c r="D305" s="586">
        <v>23.86</v>
      </c>
      <c r="E305" s="586">
        <v>23.65</v>
      </c>
      <c r="F305" s="586">
        <v>23.16</v>
      </c>
      <c r="G305" s="590"/>
      <c r="H305" s="586">
        <v>23.42</v>
      </c>
      <c r="I305" s="586">
        <v>23.42</v>
      </c>
      <c r="J305" s="586">
        <v>23.53</v>
      </c>
      <c r="K305" s="586">
        <v>23.14</v>
      </c>
    </row>
    <row r="306" spans="1:11">
      <c r="A306" s="586" t="s">
        <v>61</v>
      </c>
      <c r="C306" s="591">
        <v>24.72</v>
      </c>
      <c r="D306" s="586">
        <v>22.63</v>
      </c>
      <c r="E306" s="586">
        <v>20.96</v>
      </c>
      <c r="F306" s="586">
        <v>24.88</v>
      </c>
      <c r="G306" s="590"/>
      <c r="H306" s="586">
        <v>23.49</v>
      </c>
      <c r="I306" s="586">
        <v>23.49</v>
      </c>
      <c r="J306" s="586">
        <v>24.63</v>
      </c>
      <c r="K306" s="586">
        <v>24.73</v>
      </c>
    </row>
    <row r="307" spans="1:11">
      <c r="A307" s="586" t="s">
        <v>62</v>
      </c>
      <c r="C307" s="591">
        <v>20.079999999999998</v>
      </c>
      <c r="D307" s="586">
        <v>20.22</v>
      </c>
      <c r="E307" s="586">
        <v>19.690000000000001</v>
      </c>
      <c r="F307" s="586">
        <v>19.68</v>
      </c>
      <c r="G307" s="590"/>
      <c r="H307" s="586">
        <v>20.010000000000002</v>
      </c>
      <c r="I307" s="586">
        <v>20.010000000000002</v>
      </c>
      <c r="J307" s="586">
        <v>20.149999999999999</v>
      </c>
      <c r="K307" s="586">
        <v>20.23</v>
      </c>
    </row>
    <row r="308" spans="1:11">
      <c r="A308" s="586" t="s">
        <v>63</v>
      </c>
      <c r="C308" s="591">
        <v>17.989999999999998</v>
      </c>
      <c r="D308" s="586">
        <v>19.149999999999999</v>
      </c>
      <c r="E308" s="586">
        <v>18.739999999999998</v>
      </c>
      <c r="F308" s="586">
        <v>18.25</v>
      </c>
      <c r="G308" s="590"/>
      <c r="H308" s="586">
        <v>18.41</v>
      </c>
      <c r="I308" s="586">
        <v>18.41</v>
      </c>
      <c r="J308" s="586">
        <v>18.96</v>
      </c>
      <c r="K308" s="586">
        <v>18.63</v>
      </c>
    </row>
    <row r="309" spans="1:11">
      <c r="A309" s="586" t="s">
        <v>64</v>
      </c>
      <c r="C309" s="591">
        <v>20.14</v>
      </c>
      <c r="D309" s="586">
        <v>20.92</v>
      </c>
      <c r="E309" s="586">
        <v>20.91</v>
      </c>
      <c r="F309" s="586">
        <v>21.35</v>
      </c>
      <c r="G309" s="590"/>
      <c r="H309" s="586">
        <v>20.96</v>
      </c>
      <c r="I309" s="586">
        <v>20.96</v>
      </c>
      <c r="J309" s="586">
        <v>21.51</v>
      </c>
      <c r="K309" s="586">
        <v>20.91</v>
      </c>
    </row>
    <row r="310" spans="1:11">
      <c r="A310" s="586" t="s">
        <v>65</v>
      </c>
      <c r="C310" s="591">
        <v>24.6</v>
      </c>
      <c r="D310" s="586">
        <v>24.66</v>
      </c>
      <c r="E310" s="586">
        <v>24.72</v>
      </c>
      <c r="F310" s="586">
        <v>26.14</v>
      </c>
      <c r="G310" s="590"/>
      <c r="H310" s="586">
        <v>25.24</v>
      </c>
      <c r="I310" s="586">
        <v>25.24</v>
      </c>
      <c r="J310" s="586">
        <v>25.35</v>
      </c>
      <c r="K310" s="586">
        <v>25.2</v>
      </c>
    </row>
    <row r="311" spans="1:11">
      <c r="A311" s="586" t="s">
        <v>66</v>
      </c>
      <c r="C311" s="591">
        <v>28.67</v>
      </c>
      <c r="D311" s="586">
        <v>28.39</v>
      </c>
      <c r="E311" s="586">
        <v>28.42</v>
      </c>
      <c r="F311" s="586">
        <v>28.59</v>
      </c>
      <c r="G311" s="590"/>
      <c r="H311" s="586">
        <v>28.86</v>
      </c>
      <c r="I311" s="586">
        <v>28.86</v>
      </c>
      <c r="J311" s="586">
        <v>28.71</v>
      </c>
      <c r="K311" s="586">
        <v>28.78</v>
      </c>
    </row>
    <row r="312" spans="1:11">
      <c r="C312" s="591"/>
    </row>
    <row r="313" spans="1:11">
      <c r="B313" s="586">
        <f>SUM(B303:B311)</f>
        <v>0</v>
      </c>
      <c r="C313" s="586">
        <f t="shared" ref="C313:K313" si="49">SUM(C303:C311)</f>
        <v>194.94</v>
      </c>
      <c r="D313" s="586">
        <f t="shared" si="49"/>
        <v>194.93</v>
      </c>
      <c r="E313" s="586">
        <f t="shared" si="49"/>
        <v>193.43</v>
      </c>
      <c r="F313" s="586">
        <f t="shared" si="49"/>
        <v>193.51000000000002</v>
      </c>
      <c r="G313" s="586">
        <f t="shared" si="49"/>
        <v>0</v>
      </c>
      <c r="H313" s="586">
        <f t="shared" si="49"/>
        <v>193.03000000000003</v>
      </c>
      <c r="I313" s="586">
        <f t="shared" si="49"/>
        <v>193.03000000000003</v>
      </c>
      <c r="J313" s="586">
        <f t="shared" si="49"/>
        <v>192.48</v>
      </c>
      <c r="K313" s="586">
        <f t="shared" si="49"/>
        <v>190.64</v>
      </c>
    </row>
    <row r="314" spans="1:11">
      <c r="C314" s="593">
        <f t="shared" ref="C314:F314" si="50">C313/(280*0.9)</f>
        <v>0.77357142857142858</v>
      </c>
      <c r="D314" s="593">
        <f t="shared" si="50"/>
        <v>0.77353174603174601</v>
      </c>
      <c r="E314" s="593">
        <f t="shared" si="50"/>
        <v>0.76757936507936508</v>
      </c>
      <c r="F314" s="593">
        <f t="shared" si="50"/>
        <v>0.76789682539682547</v>
      </c>
      <c r="H314" s="593">
        <f t="shared" ref="H314:K314" si="51">H313/(280*0.9)</f>
        <v>0.76599206349206361</v>
      </c>
      <c r="I314" s="593">
        <f t="shared" si="51"/>
        <v>0.76599206349206361</v>
      </c>
      <c r="J314" s="593">
        <f t="shared" si="51"/>
        <v>0.76380952380952372</v>
      </c>
      <c r="K314" s="593">
        <f t="shared" si="51"/>
        <v>0.75650793650793646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M10"/>
  <sheetViews>
    <sheetView workbookViewId="0">
      <selection activeCell="B1" sqref="B1:M1048576"/>
    </sheetView>
  </sheetViews>
  <sheetFormatPr defaultRowHeight="15"/>
  <cols>
    <col min="1" max="1" width="5.5703125" style="612" customWidth="1"/>
    <col min="2" max="3" width="9.140625" style="612"/>
    <col min="4" max="4" width="15.85546875" style="612" customWidth="1"/>
    <col min="5" max="16384" width="9.140625" style="612"/>
  </cols>
  <sheetData>
    <row r="2" spans="2:13">
      <c r="D2" s="613">
        <v>42344</v>
      </c>
    </row>
    <row r="3" spans="2:13">
      <c r="B3" s="612" t="s">
        <v>915</v>
      </c>
      <c r="D3" s="612" t="s">
        <v>918</v>
      </c>
      <c r="E3" s="612" t="s">
        <v>919</v>
      </c>
      <c r="F3" s="612" t="s">
        <v>919</v>
      </c>
      <c r="G3" s="612" t="s">
        <v>918</v>
      </c>
      <c r="H3" s="612" t="s">
        <v>918</v>
      </c>
      <c r="I3" s="612" t="s">
        <v>919</v>
      </c>
      <c r="K3" s="612" t="s">
        <v>559</v>
      </c>
      <c r="L3" s="612" t="s">
        <v>914</v>
      </c>
      <c r="M3" s="612" t="s">
        <v>919</v>
      </c>
    </row>
    <row r="4" spans="2:13">
      <c r="D4" s="612">
        <v>245</v>
      </c>
      <c r="E4" s="612">
        <v>287</v>
      </c>
      <c r="F4" s="612">
        <v>284</v>
      </c>
      <c r="G4" s="612">
        <v>267</v>
      </c>
      <c r="H4" s="612">
        <v>284</v>
      </c>
      <c r="I4" s="612">
        <v>197</v>
      </c>
      <c r="L4" s="612">
        <v>378</v>
      </c>
      <c r="M4" s="612">
        <v>386</v>
      </c>
    </row>
    <row r="6" spans="2:13">
      <c r="B6" s="612" t="s">
        <v>916</v>
      </c>
      <c r="D6" s="612" t="s">
        <v>919</v>
      </c>
      <c r="E6" s="612" t="s">
        <v>918</v>
      </c>
      <c r="F6" s="612" t="s">
        <v>918</v>
      </c>
      <c r="G6" s="612" t="s">
        <v>919</v>
      </c>
      <c r="H6" s="612" t="s">
        <v>919</v>
      </c>
      <c r="I6" s="612" t="s">
        <v>918</v>
      </c>
      <c r="L6" s="612" t="s">
        <v>919</v>
      </c>
      <c r="M6" s="612" t="s">
        <v>918</v>
      </c>
    </row>
    <row r="7" spans="2:13">
      <c r="D7" s="612">
        <v>245</v>
      </c>
      <c r="E7" s="612">
        <v>240</v>
      </c>
      <c r="F7" s="612">
        <v>172</v>
      </c>
      <c r="G7" s="612">
        <v>251</v>
      </c>
      <c r="H7" s="612">
        <v>261</v>
      </c>
      <c r="I7" s="612">
        <v>251</v>
      </c>
      <c r="L7" s="612">
        <v>412</v>
      </c>
      <c r="M7" s="612">
        <v>398</v>
      </c>
    </row>
    <row r="9" spans="2:13">
      <c r="B9" s="612" t="s">
        <v>917</v>
      </c>
      <c r="D9" s="612" t="s">
        <v>918</v>
      </c>
      <c r="E9" s="612" t="s">
        <v>919</v>
      </c>
      <c r="F9" s="612" t="s">
        <v>919</v>
      </c>
      <c r="G9" s="612" t="s">
        <v>918</v>
      </c>
      <c r="H9" s="612" t="s">
        <v>918</v>
      </c>
      <c r="I9" s="612" t="s">
        <v>919</v>
      </c>
      <c r="L9" s="612" t="s">
        <v>918</v>
      </c>
      <c r="M9" s="612" t="s">
        <v>919</v>
      </c>
    </row>
    <row r="10" spans="2:13">
      <c r="D10" s="612">
        <v>298</v>
      </c>
      <c r="E10" s="612">
        <v>263</v>
      </c>
      <c r="F10" s="612">
        <v>211</v>
      </c>
      <c r="G10" s="612">
        <v>277</v>
      </c>
      <c r="H10" s="612">
        <v>310</v>
      </c>
      <c r="I10" s="612">
        <v>311</v>
      </c>
      <c r="L10" s="612">
        <v>356</v>
      </c>
      <c r="M10" s="612">
        <v>421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opLeftCell="A12" workbookViewId="0">
      <selection activeCell="E42" sqref="E42"/>
    </sheetView>
  </sheetViews>
  <sheetFormatPr defaultRowHeight="12.75"/>
  <cols>
    <col min="1" max="2" width="9.140625" style="35"/>
    <col min="3" max="3" width="5.7109375" style="35" customWidth="1"/>
    <col min="4" max="4" width="20.140625" style="35" customWidth="1"/>
    <col min="5" max="5" width="11.42578125" style="35" customWidth="1"/>
    <col min="6" max="6" width="15.5703125" style="38" customWidth="1"/>
    <col min="7" max="7" width="20.5703125" style="35" customWidth="1"/>
    <col min="8" max="9" width="9.140625" style="35"/>
    <col min="10" max="10" width="19" style="35" customWidth="1"/>
    <col min="11" max="16384" width="9.140625" style="35"/>
  </cols>
  <sheetData>
    <row r="1" spans="1:14">
      <c r="A1" s="163" t="s">
        <v>142</v>
      </c>
      <c r="E1" s="36" t="s">
        <v>143</v>
      </c>
      <c r="F1" s="37"/>
      <c r="G1" s="36"/>
      <c r="H1" s="36"/>
      <c r="I1" s="36"/>
      <c r="J1" s="36"/>
      <c r="K1" s="36"/>
      <c r="L1" s="37"/>
      <c r="M1" s="37"/>
    </row>
    <row r="2" spans="1:14"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>
      <c r="L3" s="38"/>
      <c r="M3" s="38"/>
    </row>
    <row r="4" spans="1:14">
      <c r="A4" s="36" t="s">
        <v>144</v>
      </c>
      <c r="B4" s="39"/>
      <c r="C4" s="39"/>
      <c r="D4" s="39"/>
      <c r="E4" s="36" t="s">
        <v>145</v>
      </c>
      <c r="F4" s="37"/>
      <c r="H4" s="36" t="s">
        <v>147</v>
      </c>
      <c r="J4" s="39"/>
      <c r="L4" s="38"/>
      <c r="M4" s="38"/>
    </row>
    <row r="5" spans="1:14" s="43" customFormat="1">
      <c r="A5" s="46"/>
      <c r="B5" s="47"/>
      <c r="C5" s="47"/>
      <c r="D5" s="46"/>
      <c r="E5" s="36" t="s">
        <v>146</v>
      </c>
      <c r="F5" s="48"/>
      <c r="G5" s="46"/>
      <c r="H5" s="46"/>
      <c r="I5" s="46"/>
      <c r="K5" s="46"/>
    </row>
    <row r="6" spans="1:14">
      <c r="D6" s="163" t="s">
        <v>92</v>
      </c>
    </row>
    <row r="7" spans="1:14" ht="13.5" thickBot="1">
      <c r="C7" s="619"/>
      <c r="D7" s="619"/>
    </row>
    <row r="8" spans="1:14" ht="12.75" customHeight="1">
      <c r="A8" s="614" t="s">
        <v>89</v>
      </c>
      <c r="B8" s="614" t="s">
        <v>90</v>
      </c>
      <c r="C8" s="614" t="s">
        <v>91</v>
      </c>
      <c r="D8" s="614" t="s">
        <v>93</v>
      </c>
      <c r="E8" s="614" t="s">
        <v>68</v>
      </c>
      <c r="F8" s="614" t="s">
        <v>94</v>
      </c>
      <c r="G8" s="614" t="s">
        <v>95</v>
      </c>
      <c r="H8" s="614" t="s">
        <v>68</v>
      </c>
      <c r="I8" s="614" t="s">
        <v>94</v>
      </c>
      <c r="J8" s="614" t="s">
        <v>95</v>
      </c>
      <c r="K8" s="614" t="s">
        <v>68</v>
      </c>
    </row>
    <row r="9" spans="1:14">
      <c r="A9" s="615"/>
      <c r="B9" s="615"/>
      <c r="C9" s="615"/>
      <c r="D9" s="617"/>
      <c r="E9" s="615"/>
      <c r="F9" s="617"/>
      <c r="G9" s="617"/>
      <c r="H9" s="615"/>
      <c r="I9" s="617"/>
      <c r="J9" s="617"/>
      <c r="K9" s="615"/>
    </row>
    <row r="10" spans="1:14" ht="12.75" customHeight="1">
      <c r="A10" s="615"/>
      <c r="B10" s="615"/>
      <c r="C10" s="615"/>
      <c r="D10" s="617"/>
      <c r="E10" s="615"/>
      <c r="F10" s="617"/>
      <c r="G10" s="617"/>
      <c r="H10" s="615"/>
      <c r="I10" s="617"/>
      <c r="J10" s="617"/>
      <c r="K10" s="615"/>
    </row>
    <row r="11" spans="1:14" ht="43.5" customHeight="1" thickBot="1">
      <c r="A11" s="616"/>
      <c r="B11" s="616"/>
      <c r="C11" s="616"/>
      <c r="D11" s="618"/>
      <c r="E11" s="616"/>
      <c r="F11" s="618"/>
      <c r="G11" s="618"/>
      <c r="H11" s="616"/>
      <c r="I11" s="618"/>
      <c r="J11" s="618"/>
      <c r="K11" s="616"/>
    </row>
    <row r="12" spans="1:14" ht="13.5" thickBot="1">
      <c r="A12" s="42" t="s">
        <v>1</v>
      </c>
      <c r="B12" s="42" t="s">
        <v>2</v>
      </c>
      <c r="C12" s="41" t="s">
        <v>3</v>
      </c>
      <c r="D12" s="41" t="s">
        <v>4</v>
      </c>
      <c r="E12" s="41" t="s">
        <v>5</v>
      </c>
      <c r="F12" s="41" t="s">
        <v>6</v>
      </c>
      <c r="G12" s="41" t="s">
        <v>7</v>
      </c>
      <c r="H12" s="41" t="s">
        <v>27</v>
      </c>
      <c r="I12" s="41" t="s">
        <v>8</v>
      </c>
      <c r="J12" s="41" t="s">
        <v>9</v>
      </c>
      <c r="K12" s="41" t="s">
        <v>10</v>
      </c>
    </row>
    <row r="13" spans="1:14" s="40" customFormat="1" ht="31.5" customHeight="1">
      <c r="A13" s="49"/>
      <c r="B13" s="50"/>
      <c r="C13" s="51"/>
      <c r="D13" s="52" t="s">
        <v>96</v>
      </c>
      <c r="E13" s="53">
        <v>42305</v>
      </c>
      <c r="F13" s="54" t="s">
        <v>149</v>
      </c>
      <c r="G13" s="54" t="s">
        <v>150</v>
      </c>
      <c r="H13" s="54"/>
      <c r="I13" s="54"/>
      <c r="J13" s="54"/>
      <c r="K13" s="55"/>
    </row>
    <row r="14" spans="1:14" s="40" customFormat="1" ht="36.75" customHeight="1">
      <c r="A14" s="56"/>
      <c r="B14" s="57"/>
      <c r="C14" s="58"/>
      <c r="D14" s="59" t="s">
        <v>151</v>
      </c>
      <c r="E14" s="60">
        <v>42306</v>
      </c>
      <c r="F14" s="61" t="s">
        <v>152</v>
      </c>
      <c r="G14" s="62"/>
      <c r="H14" s="62"/>
      <c r="I14" s="62"/>
      <c r="J14" s="62"/>
      <c r="K14" s="63"/>
    </row>
    <row r="15" spans="1:14" s="40" customFormat="1" ht="24">
      <c r="A15" s="56"/>
      <c r="B15" s="57"/>
      <c r="C15" s="58"/>
      <c r="D15" s="59" t="s">
        <v>97</v>
      </c>
      <c r="E15" s="60">
        <v>42306</v>
      </c>
      <c r="F15" s="61" t="s">
        <v>98</v>
      </c>
      <c r="G15" s="62" t="s">
        <v>99</v>
      </c>
      <c r="H15" s="62"/>
      <c r="I15" s="62"/>
      <c r="J15" s="62"/>
      <c r="K15" s="63"/>
    </row>
    <row r="16" spans="1:14" s="40" customFormat="1">
      <c r="A16" s="56"/>
      <c r="B16" s="57"/>
      <c r="C16" s="58"/>
      <c r="D16" s="59" t="s">
        <v>100</v>
      </c>
      <c r="E16" s="60">
        <v>42306</v>
      </c>
      <c r="F16" s="61" t="s">
        <v>153</v>
      </c>
      <c r="G16" s="62"/>
      <c r="H16" s="62"/>
      <c r="I16" s="62"/>
      <c r="J16" s="62"/>
      <c r="K16" s="63"/>
    </row>
    <row r="17" spans="1:11" s="40" customFormat="1" ht="24">
      <c r="A17" s="56"/>
      <c r="B17" s="57"/>
      <c r="C17" s="58"/>
      <c r="D17" s="59" t="s">
        <v>148</v>
      </c>
      <c r="E17" s="60">
        <v>42306</v>
      </c>
      <c r="F17" s="176" t="s">
        <v>102</v>
      </c>
      <c r="G17" s="62" t="s">
        <v>156</v>
      </c>
      <c r="H17" s="62"/>
      <c r="I17" s="62"/>
      <c r="J17" s="62"/>
      <c r="K17" s="63"/>
    </row>
    <row r="18" spans="1:11" s="40" customFormat="1" ht="48">
      <c r="A18" s="56"/>
      <c r="B18" s="57"/>
      <c r="C18" s="58"/>
      <c r="D18" s="59" t="s">
        <v>101</v>
      </c>
      <c r="E18" s="60">
        <v>42307</v>
      </c>
      <c r="F18" s="62" t="s">
        <v>154</v>
      </c>
      <c r="G18" s="62" t="s">
        <v>155</v>
      </c>
      <c r="H18" s="62"/>
      <c r="I18" s="62"/>
      <c r="J18" s="62"/>
      <c r="K18" s="63"/>
    </row>
    <row r="19" spans="1:11" s="40" customFormat="1" ht="16.5" thickBot="1">
      <c r="A19" s="64"/>
      <c r="B19" s="65"/>
      <c r="C19" s="165"/>
      <c r="D19" s="66"/>
      <c r="E19" s="67"/>
      <c r="F19" s="67"/>
      <c r="G19" s="67"/>
      <c r="H19" s="68"/>
      <c r="I19" s="67"/>
      <c r="J19" s="67"/>
      <c r="K19" s="69"/>
    </row>
    <row r="20" spans="1:11" s="40" customFormat="1" ht="16.5" thickBot="1">
      <c r="A20" s="56"/>
      <c r="B20" s="70"/>
      <c r="C20" s="71"/>
      <c r="D20" s="72"/>
      <c r="E20" s="73"/>
      <c r="F20" s="74"/>
      <c r="G20" s="73"/>
      <c r="H20" s="75"/>
      <c r="I20" s="73"/>
      <c r="J20" s="73"/>
      <c r="K20" s="76"/>
    </row>
    <row r="21" spans="1:11" s="40" customFormat="1" ht="13.5" thickBot="1">
      <c r="A21" s="77" t="s">
        <v>1</v>
      </c>
      <c r="B21" s="77" t="s">
        <v>2</v>
      </c>
      <c r="C21" s="77" t="s">
        <v>3</v>
      </c>
      <c r="D21" s="77" t="s">
        <v>4</v>
      </c>
      <c r="E21" s="77"/>
      <c r="F21" s="77" t="s">
        <v>6</v>
      </c>
      <c r="G21" s="78" t="s">
        <v>7</v>
      </c>
      <c r="H21" s="78" t="s">
        <v>27</v>
      </c>
      <c r="I21" s="78" t="s">
        <v>8</v>
      </c>
      <c r="J21" s="78" t="s">
        <v>9</v>
      </c>
      <c r="K21" s="78" t="s">
        <v>10</v>
      </c>
    </row>
    <row r="22" spans="1:11" s="40" customFormat="1">
      <c r="A22" s="79"/>
      <c r="B22" s="80"/>
      <c r="C22" s="80"/>
      <c r="D22" s="81"/>
      <c r="E22" s="62"/>
      <c r="F22" s="62"/>
      <c r="G22" s="82"/>
      <c r="H22" s="82"/>
      <c r="I22" s="82"/>
      <c r="J22" s="82"/>
      <c r="K22" s="82"/>
    </row>
    <row r="23" spans="1:11" s="40" customFormat="1" ht="15.75">
      <c r="A23" s="56"/>
      <c r="B23" s="70"/>
      <c r="C23" s="83"/>
      <c r="D23" s="84"/>
      <c r="E23" s="62"/>
      <c r="F23" s="62"/>
      <c r="G23" s="62"/>
      <c r="H23" s="60"/>
      <c r="I23" s="62"/>
      <c r="J23" s="62"/>
      <c r="K23" s="63"/>
    </row>
    <row r="24" spans="1:11" s="40" customFormat="1" ht="15.75">
      <c r="A24" s="56"/>
      <c r="B24" s="70"/>
      <c r="C24" s="63"/>
      <c r="D24" s="84" t="s">
        <v>148</v>
      </c>
      <c r="E24" s="60"/>
      <c r="F24" s="62"/>
      <c r="G24" s="62"/>
      <c r="H24" s="62"/>
      <c r="I24" s="62"/>
      <c r="J24" s="62"/>
      <c r="K24" s="63"/>
    </row>
    <row r="25" spans="1:11" s="40" customFormat="1" ht="15.75">
      <c r="A25" s="56"/>
      <c r="B25" s="70"/>
      <c r="C25" s="63"/>
      <c r="D25" s="84" t="s">
        <v>103</v>
      </c>
      <c r="E25" s="62"/>
      <c r="F25" s="62"/>
      <c r="G25" s="62"/>
      <c r="H25" s="62"/>
      <c r="I25" s="62"/>
      <c r="J25" s="62"/>
      <c r="K25" s="63"/>
    </row>
    <row r="26" spans="1:11" s="40" customFormat="1" ht="15.75">
      <c r="A26" s="56"/>
      <c r="B26" s="70"/>
      <c r="C26" s="63"/>
      <c r="D26" s="84" t="s">
        <v>38</v>
      </c>
      <c r="E26" s="62"/>
      <c r="F26" s="62"/>
      <c r="G26" s="62"/>
      <c r="H26" s="60"/>
      <c r="I26" s="62"/>
      <c r="J26" s="62"/>
      <c r="K26" s="63"/>
    </row>
    <row r="27" spans="1:11" s="40" customFormat="1" ht="15.75">
      <c r="A27" s="56"/>
      <c r="B27" s="70"/>
      <c r="C27" s="63"/>
      <c r="D27" s="84" t="s">
        <v>39</v>
      </c>
      <c r="E27" s="62"/>
      <c r="F27" s="62"/>
      <c r="G27" s="62"/>
      <c r="H27" s="62"/>
      <c r="I27" s="62"/>
      <c r="J27" s="62"/>
      <c r="K27" s="63"/>
    </row>
    <row r="28" spans="1:11" s="40" customFormat="1" ht="15.75">
      <c r="A28" s="56"/>
      <c r="B28" s="70"/>
      <c r="C28" s="63"/>
      <c r="D28" s="84" t="s">
        <v>104</v>
      </c>
      <c r="E28" s="62"/>
      <c r="F28" s="62"/>
      <c r="G28" s="62"/>
      <c r="H28" s="60"/>
      <c r="I28" s="62"/>
      <c r="J28" s="62"/>
      <c r="K28" s="63"/>
    </row>
    <row r="29" spans="1:11" s="40" customFormat="1" ht="15.75">
      <c r="A29" s="56"/>
      <c r="B29" s="70"/>
      <c r="C29" s="63"/>
      <c r="D29" s="84" t="s">
        <v>105</v>
      </c>
      <c r="E29" s="60"/>
      <c r="F29" s="62"/>
      <c r="G29" s="62"/>
      <c r="H29" s="62"/>
      <c r="I29" s="62"/>
      <c r="J29" s="62"/>
      <c r="K29" s="63"/>
    </row>
    <row r="30" spans="1:11" s="40" customFormat="1" ht="15.75">
      <c r="A30" s="56"/>
      <c r="B30" s="70"/>
      <c r="C30" s="63"/>
      <c r="D30" s="84"/>
      <c r="E30" s="60"/>
      <c r="F30" s="62"/>
      <c r="G30" s="62"/>
      <c r="H30" s="62"/>
      <c r="I30" s="62"/>
      <c r="J30" s="62"/>
      <c r="K30" s="63"/>
    </row>
    <row r="31" spans="1:11" s="40" customFormat="1" ht="15.75">
      <c r="A31" s="56"/>
      <c r="B31" s="70"/>
      <c r="C31" s="63"/>
      <c r="D31" s="84"/>
      <c r="E31" s="60"/>
      <c r="F31" s="62"/>
      <c r="G31" s="62"/>
      <c r="H31" s="62"/>
      <c r="I31" s="62"/>
      <c r="J31" s="62"/>
      <c r="K31" s="63"/>
    </row>
    <row r="32" spans="1:11" s="40" customFormat="1" ht="15.75">
      <c r="A32" s="56"/>
      <c r="B32" s="70"/>
      <c r="C32" s="63"/>
      <c r="D32" s="84"/>
      <c r="E32" s="60"/>
      <c r="F32" s="62"/>
      <c r="G32" s="62"/>
      <c r="H32" s="62"/>
      <c r="I32" s="62"/>
      <c r="J32" s="62"/>
      <c r="K32" s="63"/>
    </row>
    <row r="33" spans="1:11" s="40" customFormat="1" ht="15.75">
      <c r="A33" s="56"/>
      <c r="B33" s="70"/>
      <c r="C33" s="63"/>
      <c r="D33" s="84"/>
      <c r="E33" s="60"/>
      <c r="F33" s="62"/>
      <c r="G33" s="62"/>
      <c r="H33" s="62"/>
      <c r="I33" s="62"/>
      <c r="J33" s="62"/>
      <c r="K33" s="63"/>
    </row>
    <row r="34" spans="1:11" s="40" customFormat="1" ht="15.75">
      <c r="A34" s="56"/>
      <c r="B34" s="70"/>
      <c r="C34" s="63"/>
      <c r="D34" s="84"/>
      <c r="E34" s="60"/>
      <c r="F34" s="62"/>
      <c r="G34" s="62"/>
      <c r="H34" s="62"/>
      <c r="I34" s="62"/>
      <c r="J34" s="62"/>
      <c r="K34" s="63"/>
    </row>
    <row r="35" spans="1:11" s="40" customFormat="1" ht="15.75">
      <c r="A35" s="56"/>
      <c r="B35" s="70"/>
      <c r="C35" s="63"/>
      <c r="D35" s="85" t="s">
        <v>106</v>
      </c>
      <c r="E35" s="60"/>
      <c r="F35" s="62"/>
      <c r="G35" s="62"/>
      <c r="H35" s="62"/>
      <c r="I35" s="62"/>
      <c r="J35" s="62"/>
      <c r="K35" s="63"/>
    </row>
    <row r="36" spans="1:11" s="40" customFormat="1" ht="15.75">
      <c r="A36" s="56"/>
      <c r="B36" s="70"/>
      <c r="C36" s="63"/>
      <c r="D36" s="85" t="s">
        <v>107</v>
      </c>
      <c r="E36" s="62"/>
      <c r="F36" s="62"/>
      <c r="G36" s="62"/>
      <c r="H36" s="62"/>
      <c r="I36" s="62"/>
      <c r="J36" s="62"/>
      <c r="K36" s="63"/>
    </row>
    <row r="37" spans="1:11" s="40" customFormat="1" ht="15.75">
      <c r="A37" s="56"/>
      <c r="B37" s="70"/>
      <c r="C37" s="86"/>
      <c r="D37" s="87" t="s">
        <v>108</v>
      </c>
      <c r="E37" s="62"/>
      <c r="F37" s="62"/>
      <c r="G37" s="62"/>
      <c r="H37" s="62"/>
      <c r="I37" s="62"/>
      <c r="J37" s="62"/>
      <c r="K37" s="63"/>
    </row>
    <row r="38" spans="1:11" s="40" customFormat="1" ht="16.5" thickBot="1">
      <c r="A38" s="64"/>
      <c r="B38" s="88"/>
      <c r="C38" s="69"/>
      <c r="D38" s="89" t="s">
        <v>109</v>
      </c>
      <c r="E38" s="67"/>
      <c r="F38" s="67"/>
      <c r="G38" s="67"/>
      <c r="H38" s="67"/>
      <c r="I38" s="67"/>
      <c r="J38" s="67"/>
      <c r="K38" s="69"/>
    </row>
    <row r="39" spans="1:11" s="40" customFormat="1">
      <c r="B39" s="70"/>
      <c r="C39" s="70"/>
      <c r="D39" s="70"/>
    </row>
  </sheetData>
  <mergeCells count="12">
    <mergeCell ref="E8:E11"/>
    <mergeCell ref="C7:D7"/>
    <mergeCell ref="A8:A11"/>
    <mergeCell ref="B8:B11"/>
    <mergeCell ref="C8:C11"/>
    <mergeCell ref="D8:D11"/>
    <mergeCell ref="K8:K11"/>
    <mergeCell ref="F8:F11"/>
    <mergeCell ref="G8:G11"/>
    <mergeCell ref="H8:H11"/>
    <mergeCell ref="I8:I11"/>
    <mergeCell ref="J8:J11"/>
  </mergeCells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topLeftCell="B7" workbookViewId="0">
      <selection activeCell="V38" sqref="V38"/>
    </sheetView>
  </sheetViews>
  <sheetFormatPr defaultRowHeight="12.75"/>
  <cols>
    <col min="1" max="2" width="9.140625" style="35"/>
    <col min="3" max="3" width="6.42578125" style="35" customWidth="1"/>
    <col min="4" max="4" width="7.140625" style="35" customWidth="1"/>
    <col min="5" max="5" width="7.5703125" style="35" customWidth="1"/>
    <col min="6" max="6" width="5.5703125" style="35" customWidth="1"/>
    <col min="7" max="8" width="5.7109375" style="35" customWidth="1"/>
    <col min="9" max="9" width="6.28515625" style="35" customWidth="1"/>
    <col min="10" max="10" width="4.85546875" style="35" customWidth="1"/>
    <col min="11" max="11" width="6.85546875" style="35" customWidth="1"/>
    <col min="12" max="12" width="6.7109375" style="35" bestFit="1" customWidth="1"/>
    <col min="13" max="13" width="6.7109375" style="35" customWidth="1"/>
    <col min="14" max="14" width="9.140625" style="35"/>
    <col min="15" max="15" width="11.28515625" style="35" customWidth="1"/>
    <col min="16" max="16" width="7.85546875" style="38" customWidth="1"/>
    <col min="17" max="17" width="7.140625" style="38" customWidth="1"/>
    <col min="18" max="18" width="9.140625" style="38"/>
    <col min="19" max="19" width="17.85546875" style="38" customWidth="1"/>
    <col min="20" max="16384" width="9.140625" style="35"/>
  </cols>
  <sheetData>
    <row r="1" spans="1:20">
      <c r="A1" s="163" t="s">
        <v>142</v>
      </c>
      <c r="D1" s="36"/>
      <c r="E1" s="37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37"/>
      <c r="S1" s="37"/>
    </row>
    <row r="2" spans="1:20"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>
      <c r="E3" s="38"/>
    </row>
    <row r="4" spans="1:20">
      <c r="A4" s="36" t="s">
        <v>144</v>
      </c>
      <c r="B4" s="39"/>
      <c r="C4" s="39"/>
      <c r="D4" s="36" t="s">
        <v>145</v>
      </c>
      <c r="E4" s="37"/>
      <c r="J4" s="39"/>
      <c r="O4" s="36"/>
    </row>
    <row r="5" spans="1:20" s="43" customFormat="1">
      <c r="A5" s="46"/>
      <c r="B5" s="47"/>
      <c r="C5" s="47"/>
      <c r="D5" s="36" t="s">
        <v>146</v>
      </c>
      <c r="E5" s="48"/>
      <c r="F5" s="46"/>
      <c r="G5" s="46"/>
      <c r="H5" s="46"/>
      <c r="I5" s="46"/>
      <c r="K5" s="46"/>
      <c r="N5" s="46"/>
      <c r="O5" s="47"/>
      <c r="P5" s="47"/>
    </row>
    <row r="6" spans="1:20" s="168" customFormat="1" ht="15">
      <c r="A6" s="35"/>
      <c r="B6" s="35"/>
      <c r="C6" s="35"/>
      <c r="D6" s="36" t="s">
        <v>147</v>
      </c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20" ht="13.5" thickBot="1"/>
    <row r="8" spans="1:20" ht="13.5" customHeight="1" thickBot="1">
      <c r="A8" s="614" t="s">
        <v>89</v>
      </c>
      <c r="B8" s="614" t="s">
        <v>90</v>
      </c>
      <c r="C8" s="614" t="s">
        <v>110</v>
      </c>
      <c r="D8" s="614" t="s">
        <v>132</v>
      </c>
      <c r="E8" s="614" t="s">
        <v>133</v>
      </c>
      <c r="F8" s="623" t="s">
        <v>134</v>
      </c>
      <c r="G8" s="624"/>
      <c r="H8" s="624"/>
      <c r="I8" s="624"/>
      <c r="J8" s="624"/>
      <c r="K8" s="624"/>
      <c r="L8" s="624"/>
      <c r="M8" s="183"/>
      <c r="N8" s="614" t="s">
        <v>135</v>
      </c>
      <c r="O8" s="614" t="s">
        <v>136</v>
      </c>
      <c r="P8" s="620" t="s">
        <v>137</v>
      </c>
      <c r="Q8" s="621"/>
      <c r="R8" s="621"/>
      <c r="S8" s="622"/>
    </row>
    <row r="9" spans="1:20" ht="27" customHeight="1" thickBot="1">
      <c r="A9" s="617"/>
      <c r="B9" s="617"/>
      <c r="C9" s="617"/>
      <c r="D9" s="617"/>
      <c r="E9" s="617"/>
      <c r="F9" s="623" t="s">
        <v>138</v>
      </c>
      <c r="G9" s="624"/>
      <c r="H9" s="624"/>
      <c r="I9" s="624"/>
      <c r="J9" s="624"/>
      <c r="K9" s="624"/>
      <c r="L9" s="624"/>
      <c r="M9" s="96"/>
      <c r="N9" s="617"/>
      <c r="O9" s="617"/>
      <c r="P9" s="620" t="s">
        <v>138</v>
      </c>
      <c r="Q9" s="621"/>
      <c r="R9" s="621"/>
      <c r="S9" s="614" t="s">
        <v>137</v>
      </c>
    </row>
    <row r="10" spans="1:20" ht="60" customHeight="1" thickBot="1">
      <c r="A10" s="618"/>
      <c r="B10" s="618"/>
      <c r="C10" s="618"/>
      <c r="D10" s="618"/>
      <c r="E10" s="618"/>
      <c r="F10" s="129" t="s">
        <v>42</v>
      </c>
      <c r="G10" s="129" t="s">
        <v>43</v>
      </c>
      <c r="H10" s="129" t="s">
        <v>44</v>
      </c>
      <c r="I10" s="129" t="s">
        <v>45</v>
      </c>
      <c r="J10" s="129" t="s">
        <v>46</v>
      </c>
      <c r="K10" s="129" t="s">
        <v>47</v>
      </c>
      <c r="L10" s="137" t="s">
        <v>48</v>
      </c>
      <c r="M10" s="162"/>
      <c r="N10" s="618"/>
      <c r="O10" s="618"/>
      <c r="P10" s="99" t="s">
        <v>210</v>
      </c>
      <c r="Q10" s="138" t="s">
        <v>211</v>
      </c>
      <c r="R10" s="139" t="s">
        <v>212</v>
      </c>
      <c r="S10" s="618"/>
    </row>
    <row r="11" spans="1:20" ht="13.5" thickBot="1">
      <c r="A11" s="130"/>
      <c r="B11" s="130"/>
      <c r="C11" s="130"/>
      <c r="D11" s="130"/>
      <c r="E11" s="131" t="s">
        <v>41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140"/>
      <c r="R11" s="141"/>
      <c r="S11" s="141"/>
    </row>
    <row r="12" spans="1:20" ht="13.5" thickBot="1">
      <c r="A12" s="42" t="s">
        <v>49</v>
      </c>
      <c r="B12" s="42" t="s">
        <v>50</v>
      </c>
      <c r="C12" s="42" t="s">
        <v>51</v>
      </c>
      <c r="D12" s="42" t="s">
        <v>52</v>
      </c>
      <c r="E12" s="42" t="s">
        <v>15</v>
      </c>
      <c r="F12" s="41" t="s">
        <v>16</v>
      </c>
      <c r="G12" s="41" t="s">
        <v>17</v>
      </c>
      <c r="H12" s="41"/>
      <c r="I12" s="41" t="s">
        <v>18</v>
      </c>
      <c r="J12" s="41" t="s">
        <v>19</v>
      </c>
      <c r="K12" s="41" t="s">
        <v>20</v>
      </c>
      <c r="L12" s="41" t="s">
        <v>21</v>
      </c>
      <c r="M12" s="41"/>
      <c r="N12" s="41" t="s">
        <v>23</v>
      </c>
      <c r="O12" s="42" t="s">
        <v>24</v>
      </c>
      <c r="P12" s="42" t="s">
        <v>25</v>
      </c>
      <c r="Q12" s="42" t="s">
        <v>53</v>
      </c>
      <c r="R12" s="42" t="s">
        <v>54</v>
      </c>
      <c r="S12" s="42" t="s">
        <v>55</v>
      </c>
    </row>
    <row r="13" spans="1:20">
      <c r="A13" s="142"/>
      <c r="B13" s="90"/>
      <c r="C13" s="90">
        <v>3</v>
      </c>
      <c r="D13" s="90"/>
      <c r="E13" s="143" t="s">
        <v>204</v>
      </c>
      <c r="F13" s="144">
        <v>0.8</v>
      </c>
      <c r="G13" s="144">
        <v>0.2</v>
      </c>
      <c r="H13" s="144">
        <v>43.6</v>
      </c>
      <c r="I13" s="144">
        <v>24.6</v>
      </c>
      <c r="J13" s="144">
        <v>20.8</v>
      </c>
      <c r="K13" s="144">
        <v>2.6</v>
      </c>
      <c r="L13" s="144">
        <v>7.4</v>
      </c>
      <c r="M13" s="144"/>
      <c r="N13" s="144">
        <f>J13+K13+L13</f>
        <v>30.800000000000004</v>
      </c>
      <c r="O13" s="145" t="s">
        <v>213</v>
      </c>
      <c r="P13" s="146">
        <f>(L13+0.43*K13)*100/(100+F13)</f>
        <v>8.450396825396826</v>
      </c>
      <c r="Q13" s="146">
        <f>(SUM(I13:J13)+0.57*K13)*100/(100+F13)</f>
        <v>46.509920634920647</v>
      </c>
      <c r="R13" s="146">
        <f>(SUM(F13:H13)+F13)*100/(100+F13)</f>
        <v>45.039682539682538</v>
      </c>
      <c r="S13" s="147" t="s">
        <v>200</v>
      </c>
    </row>
    <row r="14" spans="1:20">
      <c r="A14" s="93"/>
      <c r="B14" s="95" t="s">
        <v>226</v>
      </c>
      <c r="C14" s="95">
        <v>2</v>
      </c>
      <c r="D14" s="95"/>
      <c r="E14" s="148" t="s">
        <v>204</v>
      </c>
      <c r="F14" s="149">
        <v>0.4</v>
      </c>
      <c r="G14" s="149">
        <v>0.1</v>
      </c>
      <c r="H14" s="149">
        <v>40.4</v>
      </c>
      <c r="I14" s="149">
        <v>35.299999999999997</v>
      </c>
      <c r="J14" s="149">
        <v>14</v>
      </c>
      <c r="K14" s="149">
        <v>4.0999999999999996</v>
      </c>
      <c r="L14" s="149">
        <v>5.7</v>
      </c>
      <c r="M14" s="149"/>
      <c r="N14" s="149">
        <f>J14+K14+L14</f>
        <v>23.8</v>
      </c>
      <c r="O14" s="145" t="s">
        <v>213</v>
      </c>
      <c r="P14" s="150">
        <f t="shared" ref="P14:P15" si="0">(L14+0.43*K14)*100/(100+F14)</f>
        <v>7.4332669322709153</v>
      </c>
      <c r="Q14" s="150">
        <f t="shared" ref="Q14:Q15" si="1">(SUM(I14:J14)+0.57*K14)*100/(100+F14)</f>
        <v>51.4312749003984</v>
      </c>
      <c r="R14" s="150">
        <f t="shared" ref="R14:R15" si="2">(SUM(F14:H14)+F14)*100/(100+F14)</f>
        <v>41.135458167330675</v>
      </c>
      <c r="S14" s="151" t="s">
        <v>217</v>
      </c>
    </row>
    <row r="15" spans="1:20" ht="13.5" thickBot="1">
      <c r="A15" s="93"/>
      <c r="B15" s="95"/>
      <c r="C15" s="95">
        <v>1</v>
      </c>
      <c r="D15" s="95"/>
      <c r="E15" s="152" t="s">
        <v>204</v>
      </c>
      <c r="F15" s="149">
        <v>2</v>
      </c>
      <c r="G15" s="149">
        <v>0.5</v>
      </c>
      <c r="H15" s="149">
        <v>18.100000000000001</v>
      </c>
      <c r="I15" s="149">
        <v>57.5</v>
      </c>
      <c r="J15" s="149">
        <v>13.8</v>
      </c>
      <c r="K15" s="149">
        <v>3.1</v>
      </c>
      <c r="L15" s="149">
        <v>5</v>
      </c>
      <c r="M15" s="149"/>
      <c r="N15" s="149">
        <f>J15+K15+L15</f>
        <v>21.900000000000002</v>
      </c>
      <c r="O15" s="145" t="s">
        <v>213</v>
      </c>
      <c r="P15" s="150">
        <f t="shared" si="0"/>
        <v>6.2088235294117657</v>
      </c>
      <c r="Q15" s="150">
        <f t="shared" si="1"/>
        <v>71.634313725490188</v>
      </c>
      <c r="R15" s="150">
        <f t="shared" si="2"/>
        <v>22.156862745098039</v>
      </c>
      <c r="S15" s="151" t="s">
        <v>217</v>
      </c>
    </row>
    <row r="16" spans="1:20" ht="13.5" thickBot="1">
      <c r="A16" s="93"/>
      <c r="B16" s="95"/>
      <c r="C16" s="95"/>
      <c r="D16" s="153" t="s">
        <v>219</v>
      </c>
      <c r="E16" s="154"/>
      <c r="F16" s="149"/>
      <c r="G16" s="149"/>
      <c r="H16" s="149"/>
      <c r="I16" s="149"/>
      <c r="J16" s="149"/>
      <c r="K16" s="149"/>
      <c r="L16" s="149"/>
      <c r="M16" s="149"/>
      <c r="N16" s="149"/>
      <c r="O16" s="155"/>
      <c r="P16" s="94"/>
      <c r="Q16" s="94"/>
      <c r="R16" s="94"/>
      <c r="S16" s="166" t="s">
        <v>217</v>
      </c>
    </row>
    <row r="17" spans="1:19" ht="13.5" thickBot="1">
      <c r="A17" s="142"/>
      <c r="B17" s="90"/>
      <c r="C17" s="90">
        <v>3</v>
      </c>
      <c r="D17" s="90"/>
      <c r="E17" s="143" t="s">
        <v>205</v>
      </c>
      <c r="F17" s="144">
        <v>0.8</v>
      </c>
      <c r="G17" s="144">
        <v>0.2</v>
      </c>
      <c r="H17" s="144">
        <v>36</v>
      </c>
      <c r="I17" s="144">
        <v>37.299999999999997</v>
      </c>
      <c r="J17" s="144">
        <v>15.1</v>
      </c>
      <c r="K17" s="144">
        <v>4.7</v>
      </c>
      <c r="L17" s="144">
        <v>5.9</v>
      </c>
      <c r="M17" s="144"/>
      <c r="N17" s="144">
        <f>J17+K17+L17</f>
        <v>25.700000000000003</v>
      </c>
      <c r="O17" s="145" t="s">
        <v>213</v>
      </c>
      <c r="P17" s="146">
        <f>(L17+0.43*K17)*100/(100+F17)</f>
        <v>7.8581349206349209</v>
      </c>
      <c r="Q17" s="146">
        <f>(SUM(I17:J17)+0.57*K17)*100/(100+F17)</f>
        <v>54.641865079365076</v>
      </c>
      <c r="R17" s="146">
        <f>(SUM(F17:H17)+F17)*100/(100+F17)</f>
        <v>37.5</v>
      </c>
      <c r="S17" s="147" t="s">
        <v>217</v>
      </c>
    </row>
    <row r="18" spans="1:19" ht="13.5" thickBot="1">
      <c r="A18" s="93"/>
      <c r="B18" s="156"/>
      <c r="C18" s="156">
        <v>2</v>
      </c>
      <c r="D18" s="95"/>
      <c r="E18" s="143" t="s">
        <v>205</v>
      </c>
      <c r="F18" s="149">
        <v>0.4</v>
      </c>
      <c r="G18" s="149">
        <v>0.1</v>
      </c>
      <c r="H18" s="149">
        <v>32.299999999999997</v>
      </c>
      <c r="I18" s="149">
        <v>42.1</v>
      </c>
      <c r="J18" s="149">
        <v>13.7</v>
      </c>
      <c r="K18" s="149">
        <v>3.4</v>
      </c>
      <c r="L18" s="149">
        <v>8</v>
      </c>
      <c r="M18" s="149"/>
      <c r="N18" s="149">
        <f>J18+K18+L18</f>
        <v>25.099999999999998</v>
      </c>
      <c r="O18" s="145" t="s">
        <v>213</v>
      </c>
      <c r="P18" s="150">
        <f t="shared" ref="P18:P19" si="3">(L18+0.43*K18)*100/(100+F18)</f>
        <v>9.4243027888446207</v>
      </c>
      <c r="Q18" s="150">
        <f t="shared" ref="Q18:Q19" si="4">(SUM(I18:J18)+0.57*K18)*100/(100+F18)</f>
        <v>57.507968127490038</v>
      </c>
      <c r="R18" s="150">
        <f t="shared" ref="R18:R19" si="5">(SUM(F18:H18)+F18)*100/(100+F18)</f>
        <v>33.067729083665334</v>
      </c>
      <c r="S18" s="151" t="s">
        <v>217</v>
      </c>
    </row>
    <row r="19" spans="1:19" ht="13.5" thickBot="1">
      <c r="A19" s="93"/>
      <c r="B19" s="156"/>
      <c r="C19" s="156">
        <v>1</v>
      </c>
      <c r="D19" s="95"/>
      <c r="E19" s="143" t="s">
        <v>205</v>
      </c>
      <c r="F19" s="149">
        <v>0.8</v>
      </c>
      <c r="G19" s="149">
        <v>0.2</v>
      </c>
      <c r="H19" s="149">
        <v>29.3</v>
      </c>
      <c r="I19" s="149">
        <v>46.2</v>
      </c>
      <c r="J19" s="149">
        <v>11.8</v>
      </c>
      <c r="K19" s="149">
        <v>5.4</v>
      </c>
      <c r="L19" s="149">
        <v>6.3</v>
      </c>
      <c r="M19" s="149"/>
      <c r="N19" s="149">
        <f>J19+K19+L19</f>
        <v>23.500000000000004</v>
      </c>
      <c r="O19" s="145" t="s">
        <v>213</v>
      </c>
      <c r="P19" s="150">
        <f t="shared" si="3"/>
        <v>8.5535714285714288</v>
      </c>
      <c r="Q19" s="150">
        <f t="shared" si="4"/>
        <v>60.593253968253968</v>
      </c>
      <c r="R19" s="150">
        <f t="shared" si="5"/>
        <v>30.853174603174605</v>
      </c>
      <c r="S19" s="151" t="s">
        <v>217</v>
      </c>
    </row>
    <row r="20" spans="1:19" ht="13.5" thickBot="1">
      <c r="A20" s="93"/>
      <c r="B20" s="95"/>
      <c r="C20" s="95"/>
      <c r="D20" s="153" t="s">
        <v>220</v>
      </c>
      <c r="E20" s="154"/>
      <c r="F20" s="149"/>
      <c r="G20" s="149"/>
      <c r="H20" s="149"/>
      <c r="I20" s="149"/>
      <c r="J20" s="149"/>
      <c r="K20" s="149"/>
      <c r="L20" s="149"/>
      <c r="M20" s="149"/>
      <c r="N20" s="149"/>
      <c r="O20" s="155"/>
      <c r="P20" s="94"/>
      <c r="Q20" s="94"/>
      <c r="R20" s="94"/>
      <c r="S20" s="166" t="s">
        <v>217</v>
      </c>
    </row>
    <row r="21" spans="1:19" ht="13.5" thickBot="1">
      <c r="A21" s="142"/>
      <c r="B21" s="90"/>
      <c r="C21" s="90">
        <v>3</v>
      </c>
      <c r="D21" s="90"/>
      <c r="E21" s="143" t="s">
        <v>76</v>
      </c>
      <c r="F21" s="144">
        <v>0.8</v>
      </c>
      <c r="G21" s="144">
        <v>0.2</v>
      </c>
      <c r="H21" s="144">
        <v>35.4</v>
      </c>
      <c r="I21" s="144">
        <v>24.6</v>
      </c>
      <c r="J21" s="144">
        <v>20.399999999999999</v>
      </c>
      <c r="K21" s="144">
        <v>7.3</v>
      </c>
      <c r="L21" s="144">
        <v>11.3</v>
      </c>
      <c r="M21" s="144"/>
      <c r="N21" s="144">
        <f>J21+K21+L21</f>
        <v>39</v>
      </c>
      <c r="O21" s="145" t="s">
        <v>216</v>
      </c>
      <c r="P21" s="146">
        <f>(L21+0.43*K21)*100/(100+F21)</f>
        <v>14.324404761904763</v>
      </c>
      <c r="Q21" s="146">
        <f>(SUM(I21:J21)+0.57*K21)*100/(100+F21)</f>
        <v>48.770833333333336</v>
      </c>
      <c r="R21" s="146">
        <f>(SUM(F21:H21)+F21)*100/(100+F21)</f>
        <v>36.904761904761898</v>
      </c>
      <c r="S21" s="147" t="s">
        <v>200</v>
      </c>
    </row>
    <row r="22" spans="1:19" ht="13.5" thickBot="1">
      <c r="A22" s="93"/>
      <c r="B22" s="156"/>
      <c r="C22" s="156">
        <v>2</v>
      </c>
      <c r="D22" s="95"/>
      <c r="E22" s="143" t="s">
        <v>76</v>
      </c>
      <c r="F22" s="149">
        <v>0.4</v>
      </c>
      <c r="G22" s="149">
        <v>0.1</v>
      </c>
      <c r="H22" s="149">
        <v>34.200000000000003</v>
      </c>
      <c r="I22" s="149">
        <v>44.6</v>
      </c>
      <c r="J22" s="149">
        <v>9.1</v>
      </c>
      <c r="K22" s="149">
        <v>5</v>
      </c>
      <c r="L22" s="149">
        <v>6.6</v>
      </c>
      <c r="M22" s="149"/>
      <c r="N22" s="149">
        <f>J22+K22+L22</f>
        <v>20.7</v>
      </c>
      <c r="O22" s="145" t="s">
        <v>213</v>
      </c>
      <c r="P22" s="150">
        <f t="shared" ref="P22:P23" si="6">(L22+0.43*K22)*100/(100+F22)</f>
        <v>8.7151394422310755</v>
      </c>
      <c r="Q22" s="150">
        <f t="shared" ref="Q22:Q23" si="7">(SUM(I22:J22)+0.57*K22)*100/(100+F22)</f>
        <v>56.32470119521912</v>
      </c>
      <c r="R22" s="150">
        <f t="shared" ref="R22:R23" si="8">(SUM(F22:H22)+F22)*100/(100+F22)</f>
        <v>34.960159362549796</v>
      </c>
      <c r="S22" s="151" t="s">
        <v>217</v>
      </c>
    </row>
    <row r="23" spans="1:19" ht="13.5" thickBot="1">
      <c r="A23" s="93"/>
      <c r="B23" s="156"/>
      <c r="C23" s="156">
        <v>1</v>
      </c>
      <c r="D23" s="95"/>
      <c r="E23" s="143" t="s">
        <v>76</v>
      </c>
      <c r="F23" s="149">
        <v>0.8</v>
      </c>
      <c r="G23" s="149">
        <v>0.2</v>
      </c>
      <c r="H23" s="149">
        <v>26</v>
      </c>
      <c r="I23" s="149">
        <v>50.4</v>
      </c>
      <c r="J23" s="149">
        <v>12.8</v>
      </c>
      <c r="K23" s="149">
        <v>4.0999999999999996</v>
      </c>
      <c r="L23" s="149">
        <v>5.7</v>
      </c>
      <c r="M23" s="149"/>
      <c r="N23" s="149">
        <f>J23+K23+L23</f>
        <v>22.599999999999998</v>
      </c>
      <c r="O23" s="145" t="s">
        <v>213</v>
      </c>
      <c r="P23" s="150">
        <f t="shared" si="6"/>
        <v>7.4037698412698409</v>
      </c>
      <c r="Q23" s="150">
        <f t="shared" si="7"/>
        <v>65.01686507936509</v>
      </c>
      <c r="R23" s="150">
        <f t="shared" si="8"/>
        <v>27.579365079365079</v>
      </c>
      <c r="S23" s="151" t="s">
        <v>217</v>
      </c>
    </row>
    <row r="24" spans="1:19" ht="13.5" thickBot="1">
      <c r="A24" s="93"/>
      <c r="B24" s="95"/>
      <c r="C24" s="95"/>
      <c r="D24" s="184" t="s">
        <v>221</v>
      </c>
      <c r="E24" s="185"/>
      <c r="F24" s="149"/>
      <c r="G24" s="149"/>
      <c r="H24" s="149"/>
      <c r="I24" s="149"/>
      <c r="J24" s="149"/>
      <c r="K24" s="149"/>
      <c r="L24" s="149"/>
      <c r="M24" s="149"/>
      <c r="N24" s="149"/>
      <c r="O24" s="145"/>
      <c r="P24" s="94"/>
      <c r="Q24" s="94"/>
      <c r="R24" s="94"/>
      <c r="S24" s="166" t="s">
        <v>217</v>
      </c>
    </row>
    <row r="25" spans="1:19" ht="13.5" thickBot="1">
      <c r="A25" s="142"/>
      <c r="B25" s="90"/>
      <c r="C25" s="90">
        <v>3</v>
      </c>
      <c r="D25" s="90"/>
      <c r="E25" s="143" t="s">
        <v>206</v>
      </c>
      <c r="F25" s="144">
        <v>1.6</v>
      </c>
      <c r="G25" s="144">
        <v>0.4</v>
      </c>
      <c r="H25" s="144">
        <v>46.5</v>
      </c>
      <c r="I25" s="144">
        <v>39.9</v>
      </c>
      <c r="J25" s="144">
        <v>7.7</v>
      </c>
      <c r="K25" s="144">
        <v>0.8</v>
      </c>
      <c r="L25" s="144">
        <v>3.1</v>
      </c>
      <c r="M25" s="144"/>
      <c r="N25" s="144">
        <f>J25+K25+L25</f>
        <v>11.6</v>
      </c>
      <c r="O25" s="186" t="s">
        <v>214</v>
      </c>
      <c r="P25" s="146">
        <f>(L25+0.43*K25)*100/(100+F25)</f>
        <v>3.3897637795275588</v>
      </c>
      <c r="Q25" s="146">
        <f>(SUM(I25:J25)+0.57*K25)*100/(100+F25)</f>
        <v>47.2992125984252</v>
      </c>
      <c r="R25" s="146">
        <f>(SUM(F25:H25)+F25)*100/(100+F25)</f>
        <v>49.311023622047244</v>
      </c>
      <c r="S25" s="147" t="s">
        <v>218</v>
      </c>
    </row>
    <row r="26" spans="1:19" ht="13.5" thickBot="1">
      <c r="A26" s="93"/>
      <c r="B26" s="156"/>
      <c r="C26" s="156">
        <v>2</v>
      </c>
      <c r="D26" s="95"/>
      <c r="E26" s="143" t="s">
        <v>206</v>
      </c>
      <c r="F26" s="149">
        <v>2</v>
      </c>
      <c r="G26" s="149">
        <v>0.5</v>
      </c>
      <c r="H26" s="149">
        <v>49.8</v>
      </c>
      <c r="I26" s="149">
        <v>39.799999999999997</v>
      </c>
      <c r="J26" s="149">
        <v>3.6</v>
      </c>
      <c r="K26" s="149">
        <v>1.4</v>
      </c>
      <c r="L26" s="149">
        <v>2.9</v>
      </c>
      <c r="M26" s="149"/>
      <c r="N26" s="149">
        <f>J26+K26+L26</f>
        <v>7.9</v>
      </c>
      <c r="O26" s="145" t="s">
        <v>215</v>
      </c>
      <c r="P26" s="150">
        <f t="shared" ref="P26:P27" si="9">(L26+0.43*K26)*100/(100+F26)</f>
        <v>3.4333333333333331</v>
      </c>
      <c r="Q26" s="150">
        <f t="shared" ref="Q26:Q27" si="10">(SUM(I26:J26)+0.57*K26)*100/(100+F26)</f>
        <v>43.331372549019612</v>
      </c>
      <c r="R26" s="150">
        <f t="shared" ref="R26:R27" si="11">(SUM(F26:H26)+F26)*100/(100+F26)</f>
        <v>53.235294117647058</v>
      </c>
      <c r="S26" s="166" t="s">
        <v>218</v>
      </c>
    </row>
    <row r="27" spans="1:19" ht="13.5" thickBot="1">
      <c r="A27" s="93"/>
      <c r="B27" s="95"/>
      <c r="C27" s="156">
        <v>1</v>
      </c>
      <c r="D27" s="95"/>
      <c r="E27" s="143" t="s">
        <v>206</v>
      </c>
      <c r="F27" s="149">
        <v>1.6</v>
      </c>
      <c r="G27" s="149">
        <v>0.4</v>
      </c>
      <c r="H27" s="149">
        <v>41.8</v>
      </c>
      <c r="I27" s="149">
        <v>45.7</v>
      </c>
      <c r="J27" s="149">
        <v>6.8</v>
      </c>
      <c r="K27" s="149">
        <v>2.1</v>
      </c>
      <c r="L27" s="149">
        <v>1.6</v>
      </c>
      <c r="M27" s="149"/>
      <c r="N27" s="149">
        <f>J27+K27+L27</f>
        <v>10.5</v>
      </c>
      <c r="O27" s="145" t="s">
        <v>213</v>
      </c>
      <c r="P27" s="150">
        <f t="shared" si="9"/>
        <v>2.4635826771653546</v>
      </c>
      <c r="Q27" s="150">
        <f t="shared" si="10"/>
        <v>52.851377952755918</v>
      </c>
      <c r="R27" s="150">
        <f t="shared" si="11"/>
        <v>44.685039370078741</v>
      </c>
      <c r="S27" s="166" t="s">
        <v>217</v>
      </c>
    </row>
    <row r="28" spans="1:19" ht="13.5" thickBot="1">
      <c r="A28" s="157"/>
      <c r="B28" s="158"/>
      <c r="C28" s="158"/>
      <c r="D28" s="153" t="s">
        <v>222</v>
      </c>
      <c r="E28" s="154"/>
      <c r="F28" s="187"/>
      <c r="G28" s="155"/>
      <c r="H28" s="155"/>
      <c r="I28" s="155"/>
      <c r="J28" s="155"/>
      <c r="K28" s="155"/>
      <c r="L28" s="155"/>
      <c r="M28" s="155"/>
      <c r="N28" s="155"/>
      <c r="O28" s="158"/>
      <c r="P28" s="132"/>
      <c r="Q28" s="132"/>
      <c r="R28" s="132"/>
      <c r="S28" s="167" t="s">
        <v>218</v>
      </c>
    </row>
    <row r="29" spans="1:19" ht="13.5" thickBot="1">
      <c r="A29" s="93"/>
      <c r="B29" s="95"/>
      <c r="C29" s="95">
        <v>3</v>
      </c>
      <c r="D29" s="95"/>
      <c r="E29" s="148" t="s">
        <v>207</v>
      </c>
      <c r="F29" s="149">
        <v>0.4</v>
      </c>
      <c r="G29" s="149">
        <v>0.1</v>
      </c>
      <c r="H29" s="149">
        <v>28.9</v>
      </c>
      <c r="I29" s="149">
        <v>52.7</v>
      </c>
      <c r="J29" s="149">
        <v>10.5</v>
      </c>
      <c r="K29" s="149">
        <v>3.6</v>
      </c>
      <c r="L29" s="149">
        <v>3.8</v>
      </c>
      <c r="M29" s="149"/>
      <c r="N29" s="149">
        <f>J29+K29+L29</f>
        <v>17.899999999999999</v>
      </c>
      <c r="O29" s="145" t="s">
        <v>214</v>
      </c>
      <c r="P29" s="150">
        <f>(L29+0.43*K29)*100/(100+F29)</f>
        <v>5.3266932270916323</v>
      </c>
      <c r="Q29" s="150">
        <f>(SUM(I29:J29)+0.57*K29)*100/(100+F29)</f>
        <v>64.992031872509969</v>
      </c>
      <c r="R29" s="150">
        <f>(SUM(F29:H29)+F29)*100/(100+F29)</f>
        <v>29.6812749003984</v>
      </c>
      <c r="S29" s="166" t="s">
        <v>217</v>
      </c>
    </row>
    <row r="30" spans="1:19" ht="13.5" thickBot="1">
      <c r="A30" s="93"/>
      <c r="B30" s="156"/>
      <c r="C30" s="156">
        <v>2</v>
      </c>
      <c r="D30" s="95"/>
      <c r="E30" s="143" t="s">
        <v>207</v>
      </c>
      <c r="F30" s="149">
        <v>0.4</v>
      </c>
      <c r="G30" s="149">
        <v>0.1</v>
      </c>
      <c r="H30" s="149">
        <v>31.5</v>
      </c>
      <c r="I30" s="149">
        <v>55.8</v>
      </c>
      <c r="J30" s="149">
        <v>6.6</v>
      </c>
      <c r="K30" s="149">
        <v>1.3</v>
      </c>
      <c r="L30" s="149">
        <v>4.3</v>
      </c>
      <c r="M30" s="149"/>
      <c r="N30" s="149">
        <f>J30+K30+L30</f>
        <v>12.2</v>
      </c>
      <c r="O30" s="145" t="s">
        <v>214</v>
      </c>
      <c r="P30" s="150">
        <f t="shared" ref="P30:P31" si="12">(L30+0.43*K30)*100/(100+F30)</f>
        <v>4.8396414342629477</v>
      </c>
      <c r="Q30" s="150">
        <f t="shared" ref="Q30:Q31" si="13">(SUM(I30:J30)+0.57*K30)*100/(100+F30)</f>
        <v>62.889442231075691</v>
      </c>
      <c r="R30" s="150">
        <f t="shared" ref="R30:R31" si="14">(SUM(F30:H30)+F30)*100/(100+F30)</f>
        <v>32.270916334661351</v>
      </c>
      <c r="S30" s="166" t="s">
        <v>217</v>
      </c>
    </row>
    <row r="31" spans="1:19" ht="13.5" thickBot="1">
      <c r="A31" s="93"/>
      <c r="B31" s="95"/>
      <c r="C31" s="156">
        <v>1</v>
      </c>
      <c r="D31" s="95"/>
      <c r="E31" s="143" t="s">
        <v>207</v>
      </c>
      <c r="F31" s="149">
        <v>0.4</v>
      </c>
      <c r="G31" s="149">
        <v>0.1</v>
      </c>
      <c r="H31" s="149">
        <v>27.9</v>
      </c>
      <c r="I31" s="149">
        <v>57.7</v>
      </c>
      <c r="J31" s="149">
        <v>6.9</v>
      </c>
      <c r="K31" s="149">
        <v>4.0999999999999996</v>
      </c>
      <c r="L31" s="149">
        <v>2.9</v>
      </c>
      <c r="M31" s="149"/>
      <c r="N31" s="149">
        <f>J31+K31+L31</f>
        <v>13.9</v>
      </c>
      <c r="O31" s="145" t="s">
        <v>213</v>
      </c>
      <c r="P31" s="150">
        <f t="shared" si="12"/>
        <v>4.6444223107569718</v>
      </c>
      <c r="Q31" s="150">
        <f t="shared" si="13"/>
        <v>66.670318725099605</v>
      </c>
      <c r="R31" s="150">
        <f t="shared" si="14"/>
        <v>28.685258964143419</v>
      </c>
      <c r="S31" s="166" t="s">
        <v>217</v>
      </c>
    </row>
    <row r="32" spans="1:19" ht="13.5" thickBot="1">
      <c r="A32" s="93"/>
      <c r="B32" s="95"/>
      <c r="C32" s="95"/>
      <c r="D32" s="184" t="s">
        <v>223</v>
      </c>
      <c r="E32" s="185"/>
      <c r="F32" s="149"/>
      <c r="G32" s="145"/>
      <c r="H32" s="145"/>
      <c r="I32" s="145"/>
      <c r="J32" s="145"/>
      <c r="K32" s="145"/>
      <c r="L32" s="145"/>
      <c r="M32" s="145"/>
      <c r="N32" s="145"/>
      <c r="O32" s="95"/>
      <c r="P32" s="94"/>
      <c r="Q32" s="94"/>
      <c r="R32" s="94"/>
      <c r="S32" s="166" t="s">
        <v>217</v>
      </c>
    </row>
    <row r="33" spans="1:19" ht="13.5" thickBot="1">
      <c r="A33" s="142"/>
      <c r="B33" s="90"/>
      <c r="C33" s="90">
        <v>3</v>
      </c>
      <c r="D33" s="90"/>
      <c r="E33" s="143" t="s">
        <v>208</v>
      </c>
      <c r="F33" s="144">
        <v>0.8</v>
      </c>
      <c r="G33" s="144">
        <v>0.2</v>
      </c>
      <c r="H33" s="144">
        <v>39.1</v>
      </c>
      <c r="I33" s="144">
        <v>46.2</v>
      </c>
      <c r="J33" s="144">
        <v>8.3000000000000007</v>
      </c>
      <c r="K33" s="144">
        <v>1.6</v>
      </c>
      <c r="L33" s="144">
        <v>3.8</v>
      </c>
      <c r="M33" s="144"/>
      <c r="N33" s="144">
        <f>J33+K33+L33</f>
        <v>13.7</v>
      </c>
      <c r="O33" s="186" t="s">
        <v>214</v>
      </c>
      <c r="P33" s="146">
        <f>(L33+0.43*K33)*100/(100+F33)</f>
        <v>4.4523809523809517</v>
      </c>
      <c r="Q33" s="146">
        <f>(SUM(I33:J33)+0.57*K33)*100/(100+F33)</f>
        <v>54.972222222222221</v>
      </c>
      <c r="R33" s="146">
        <f>(SUM(F33:H33)+F33)*100/(100+F33)</f>
        <v>40.57539682539683</v>
      </c>
      <c r="S33" s="147" t="s">
        <v>217</v>
      </c>
    </row>
    <row r="34" spans="1:19" ht="13.5" thickBot="1">
      <c r="A34" s="93"/>
      <c r="B34" s="156"/>
      <c r="C34" s="156">
        <v>2</v>
      </c>
      <c r="D34" s="95"/>
      <c r="E34" s="143" t="s">
        <v>208</v>
      </c>
      <c r="F34" s="149">
        <v>0.4</v>
      </c>
      <c r="G34" s="149">
        <v>0.1</v>
      </c>
      <c r="H34" s="149">
        <v>36.4</v>
      </c>
      <c r="I34" s="149">
        <v>51.8</v>
      </c>
      <c r="J34" s="149">
        <v>7.4</v>
      </c>
      <c r="K34" s="149">
        <v>0.7</v>
      </c>
      <c r="L34" s="149">
        <v>3.2</v>
      </c>
      <c r="M34" s="149"/>
      <c r="N34" s="149">
        <f>J34+K34+L34</f>
        <v>11.3</v>
      </c>
      <c r="O34" s="145" t="s">
        <v>214</v>
      </c>
      <c r="P34" s="150">
        <f t="shared" ref="P34:P35" si="15">(L34+0.43*K34)*100/(100+F34)</f>
        <v>3.4870517928286855</v>
      </c>
      <c r="Q34" s="150">
        <f t="shared" ref="Q34:Q35" si="16">(SUM(I34:J34)+0.57*K34)*100/(100+F34)</f>
        <v>59.361553784860554</v>
      </c>
      <c r="R34" s="150">
        <f t="shared" ref="R34:R35" si="17">(SUM(F34:H34)+F34)*100/(100+F34)</f>
        <v>37.151394422310752</v>
      </c>
      <c r="S34" s="166" t="s">
        <v>217</v>
      </c>
    </row>
    <row r="35" spans="1:19" ht="13.5" thickBot="1">
      <c r="A35" s="93"/>
      <c r="B35" s="95"/>
      <c r="C35" s="156">
        <v>1</v>
      </c>
      <c r="D35" s="95"/>
      <c r="E35" s="143" t="s">
        <v>208</v>
      </c>
      <c r="F35" s="149">
        <v>2.4</v>
      </c>
      <c r="G35" s="149">
        <v>0.6</v>
      </c>
      <c r="H35" s="149">
        <v>24.3</v>
      </c>
      <c r="I35" s="149">
        <v>69.5</v>
      </c>
      <c r="J35" s="149">
        <v>2.9</v>
      </c>
      <c r="K35" s="149">
        <v>0.2</v>
      </c>
      <c r="L35" s="149">
        <v>0.1</v>
      </c>
      <c r="M35" s="149"/>
      <c r="N35" s="149">
        <f>J35+K35+L35</f>
        <v>3.2</v>
      </c>
      <c r="O35" s="145" t="s">
        <v>215</v>
      </c>
      <c r="P35" s="150">
        <f t="shared" si="15"/>
        <v>0.181640625</v>
      </c>
      <c r="Q35" s="150">
        <f t="shared" si="16"/>
        <v>70.814453125000014</v>
      </c>
      <c r="R35" s="150">
        <f t="shared" si="17"/>
        <v>29.00390625</v>
      </c>
      <c r="S35" s="166" t="s">
        <v>217</v>
      </c>
    </row>
    <row r="36" spans="1:19" ht="13.5" thickBot="1">
      <c r="A36" s="157"/>
      <c r="B36" s="158"/>
      <c r="C36" s="158"/>
      <c r="D36" s="153" t="s">
        <v>224</v>
      </c>
      <c r="E36" s="154"/>
      <c r="F36" s="187"/>
      <c r="G36" s="155"/>
      <c r="H36" s="155"/>
      <c r="I36" s="155"/>
      <c r="J36" s="155"/>
      <c r="K36" s="155"/>
      <c r="L36" s="155"/>
      <c r="M36" s="155"/>
      <c r="N36" s="155"/>
      <c r="O36" s="158"/>
      <c r="P36" s="132"/>
      <c r="Q36" s="132"/>
      <c r="R36" s="132"/>
      <c r="S36" s="167" t="s">
        <v>217</v>
      </c>
    </row>
    <row r="37" spans="1:19" ht="13.5" thickBot="1">
      <c r="A37" s="142"/>
      <c r="B37" s="90"/>
      <c r="C37" s="90">
        <v>3</v>
      </c>
      <c r="D37" s="90"/>
      <c r="E37" s="143" t="s">
        <v>209</v>
      </c>
      <c r="F37" s="144">
        <v>0.4</v>
      </c>
      <c r="G37" s="144">
        <v>0.1</v>
      </c>
      <c r="H37" s="144">
        <v>20.9</v>
      </c>
      <c r="I37" s="144">
        <v>43.1</v>
      </c>
      <c r="J37" s="144">
        <v>16.3</v>
      </c>
      <c r="K37" s="144">
        <v>10.5</v>
      </c>
      <c r="L37" s="144">
        <v>8.6999999999999993</v>
      </c>
      <c r="M37" s="144"/>
      <c r="N37" s="144">
        <f>J37+K37+L37</f>
        <v>35.5</v>
      </c>
      <c r="O37" s="186" t="s">
        <v>213</v>
      </c>
      <c r="P37" s="146">
        <f>(L37+0.43*K37)*100/(100+F37)</f>
        <v>13.162350597609562</v>
      </c>
      <c r="Q37" s="146">
        <f>(SUM(I37:J37)+0.57*K37)*100/(100+F37)</f>
        <v>65.124501992031881</v>
      </c>
      <c r="R37" s="146">
        <f>(SUM(F37:H37)+F37)*100/(100+F37)</f>
        <v>21.713147410358559</v>
      </c>
      <c r="S37" s="147" t="s">
        <v>217</v>
      </c>
    </row>
    <row r="38" spans="1:19" ht="13.5" thickBot="1">
      <c r="A38" s="93"/>
      <c r="B38" s="156"/>
      <c r="C38" s="156">
        <v>2</v>
      </c>
      <c r="D38" s="95"/>
      <c r="E38" s="143" t="s">
        <v>209</v>
      </c>
      <c r="F38" s="149">
        <v>0.4</v>
      </c>
      <c r="G38" s="149">
        <v>0.1</v>
      </c>
      <c r="H38" s="149">
        <v>17.8</v>
      </c>
      <c r="I38" s="149">
        <v>44.7</v>
      </c>
      <c r="J38" s="149">
        <v>20</v>
      </c>
      <c r="K38" s="149">
        <v>7.1</v>
      </c>
      <c r="L38" s="149">
        <v>9.9</v>
      </c>
      <c r="M38" s="149"/>
      <c r="N38" s="149">
        <f>J38+K38+L38</f>
        <v>37</v>
      </c>
      <c r="O38" s="145" t="s">
        <v>216</v>
      </c>
      <c r="P38" s="150">
        <f t="shared" ref="P38:P39" si="18">(L38+0.43*K38)*100/(100+F38)</f>
        <v>12.901394422310755</v>
      </c>
      <c r="Q38" s="150">
        <f t="shared" ref="Q38:Q39" si="19">(SUM(I38:J38)+0.57*K38)*100/(100+F38)</f>
        <v>68.473107569721108</v>
      </c>
      <c r="R38" s="150">
        <f t="shared" ref="R38:R39" si="20">(SUM(F38:H38)+F38)*100/(100+F38)</f>
        <v>18.625498007968126</v>
      </c>
      <c r="S38" s="166" t="s">
        <v>217</v>
      </c>
    </row>
    <row r="39" spans="1:19" ht="13.5" thickBot="1">
      <c r="A39" s="93"/>
      <c r="B39" s="95"/>
      <c r="C39" s="156">
        <v>1</v>
      </c>
      <c r="D39" s="95"/>
      <c r="E39" s="143" t="s">
        <v>209</v>
      </c>
      <c r="F39" s="149">
        <v>0.8</v>
      </c>
      <c r="G39" s="149">
        <v>0.2</v>
      </c>
      <c r="H39" s="149">
        <v>13.3</v>
      </c>
      <c r="I39" s="149">
        <v>49.1</v>
      </c>
      <c r="J39" s="149">
        <v>13.1</v>
      </c>
      <c r="K39" s="149">
        <v>13.9</v>
      </c>
      <c r="L39" s="149">
        <v>9.6</v>
      </c>
      <c r="M39" s="149"/>
      <c r="N39" s="149">
        <f>J39+K39+L39</f>
        <v>36.6</v>
      </c>
      <c r="O39" s="145" t="s">
        <v>216</v>
      </c>
      <c r="P39" s="150">
        <f t="shared" si="18"/>
        <v>15.453373015873018</v>
      </c>
      <c r="Q39" s="150">
        <f t="shared" si="19"/>
        <v>69.566468253968253</v>
      </c>
      <c r="R39" s="150">
        <f t="shared" si="20"/>
        <v>14.980158730158733</v>
      </c>
      <c r="S39" s="166" t="s">
        <v>217</v>
      </c>
    </row>
    <row r="40" spans="1:19" ht="13.5" thickBot="1">
      <c r="A40" s="157"/>
      <c r="B40" s="158"/>
      <c r="C40" s="158"/>
      <c r="D40" s="153" t="s">
        <v>225</v>
      </c>
      <c r="E40" s="154"/>
      <c r="F40" s="187"/>
      <c r="G40" s="155"/>
      <c r="H40" s="155"/>
      <c r="I40" s="155"/>
      <c r="J40" s="155"/>
      <c r="K40" s="155"/>
      <c r="L40" s="155"/>
      <c r="M40" s="155"/>
      <c r="N40" s="155"/>
      <c r="O40" s="158"/>
      <c r="P40" s="132"/>
      <c r="Q40" s="132"/>
      <c r="R40" s="132"/>
      <c r="S40" s="167" t="s">
        <v>217</v>
      </c>
    </row>
  </sheetData>
  <mergeCells count="12">
    <mergeCell ref="N8:N10"/>
    <mergeCell ref="O8:O10"/>
    <mergeCell ref="P8:S8"/>
    <mergeCell ref="F9:L9"/>
    <mergeCell ref="P9:R9"/>
    <mergeCell ref="S9:S10"/>
    <mergeCell ref="F8:L8"/>
    <mergeCell ref="A8:A10"/>
    <mergeCell ref="B8:B10"/>
    <mergeCell ref="C8:C10"/>
    <mergeCell ref="D8:D10"/>
    <mergeCell ref="E8:E10"/>
  </mergeCells>
  <pageMargins left="0.75" right="0.75" top="1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topLeftCell="A4" zoomScaleNormal="100" workbookViewId="0">
      <selection activeCell="C29" sqref="C29"/>
    </sheetView>
  </sheetViews>
  <sheetFormatPr defaultRowHeight="15"/>
  <cols>
    <col min="1" max="1" width="9.140625" style="168"/>
    <col min="2" max="2" width="17.5703125" style="168" customWidth="1"/>
    <col min="3" max="3" width="9.140625" style="168"/>
    <col min="4" max="4" width="11.42578125" style="168" customWidth="1"/>
    <col min="5" max="5" width="12.42578125" style="168" customWidth="1"/>
    <col min="6" max="16384" width="9.140625" style="168"/>
  </cols>
  <sheetData>
    <row r="1" spans="1:18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8" s="35" customFormat="1" ht="12.75">
      <c r="A2" s="163" t="s">
        <v>142</v>
      </c>
      <c r="D2" s="36"/>
      <c r="E2" s="37"/>
      <c r="F2" s="36"/>
      <c r="G2" s="36"/>
      <c r="H2" s="36"/>
      <c r="I2" s="36"/>
      <c r="J2" s="36"/>
      <c r="K2" s="36"/>
      <c r="L2" s="36"/>
      <c r="M2" s="36"/>
      <c r="N2" s="37"/>
      <c r="O2" s="37"/>
      <c r="P2" s="37"/>
      <c r="Q2" s="37"/>
    </row>
    <row r="3" spans="1:18" s="35" customFormat="1" ht="12.75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5" customFormat="1" ht="12.75">
      <c r="E4" s="38"/>
      <c r="N4" s="38"/>
      <c r="O4" s="38"/>
      <c r="P4" s="38"/>
      <c r="Q4" s="38"/>
    </row>
    <row r="5" spans="1:18" s="35" customFormat="1" ht="12.75">
      <c r="A5" s="36" t="s">
        <v>144</v>
      </c>
      <c r="B5" s="39"/>
      <c r="C5" s="39"/>
      <c r="D5" s="36" t="s">
        <v>145</v>
      </c>
      <c r="E5" s="37"/>
      <c r="G5" s="36" t="s">
        <v>147</v>
      </c>
      <c r="I5" s="39"/>
      <c r="M5" s="36"/>
      <c r="N5" s="38"/>
      <c r="O5" s="38"/>
      <c r="P5" s="38"/>
      <c r="Q5" s="38"/>
    </row>
    <row r="6" spans="1:18" s="43" customFormat="1" ht="12.75">
      <c r="A6" s="46"/>
      <c r="B6" s="47"/>
      <c r="C6" s="47"/>
      <c r="D6" s="36" t="s">
        <v>146</v>
      </c>
      <c r="E6" s="48"/>
      <c r="F6" s="46"/>
      <c r="G6" s="46"/>
      <c r="H6" s="46"/>
      <c r="J6" s="46"/>
      <c r="L6" s="46"/>
      <c r="M6" s="47"/>
      <c r="N6" s="47"/>
    </row>
    <row r="7" spans="1:18">
      <c r="A7" s="35"/>
      <c r="B7" s="35"/>
      <c r="C7" s="35"/>
      <c r="E7" s="35"/>
      <c r="F7" s="35"/>
      <c r="G7" s="35"/>
      <c r="H7" s="35"/>
      <c r="I7" s="35"/>
      <c r="J7" s="35"/>
      <c r="K7" s="35"/>
      <c r="L7" s="35"/>
    </row>
    <row r="8" spans="1:18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8">
      <c r="A9" s="36" t="s">
        <v>122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8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8">
      <c r="A11" s="627" t="s">
        <v>89</v>
      </c>
      <c r="B11" s="628" t="s">
        <v>68</v>
      </c>
      <c r="C11" s="628" t="s">
        <v>123</v>
      </c>
      <c r="D11" s="628"/>
      <c r="E11" s="628"/>
      <c r="F11" s="628"/>
      <c r="G11" s="628"/>
      <c r="H11" s="628"/>
      <c r="I11" s="625" t="s">
        <v>124</v>
      </c>
      <c r="J11" s="625" t="s">
        <v>125</v>
      </c>
    </row>
    <row r="12" spans="1:18" ht="41.25" customHeight="1">
      <c r="A12" s="627"/>
      <c r="B12" s="628"/>
      <c r="C12" s="59" t="s">
        <v>126</v>
      </c>
      <c r="D12" s="59" t="s">
        <v>127</v>
      </c>
      <c r="E12" s="59" t="s">
        <v>128</v>
      </c>
      <c r="F12" s="59" t="s">
        <v>129</v>
      </c>
      <c r="G12" s="59" t="s">
        <v>130</v>
      </c>
      <c r="H12" s="59" t="s">
        <v>131</v>
      </c>
      <c r="I12" s="625"/>
      <c r="J12" s="625"/>
    </row>
    <row r="13" spans="1:18">
      <c r="A13" s="44"/>
      <c r="B13" s="44"/>
      <c r="C13" s="91"/>
      <c r="D13" s="91"/>
      <c r="E13" s="91"/>
      <c r="F13" s="91"/>
      <c r="G13" s="91"/>
      <c r="H13" s="91"/>
      <c r="I13" s="91"/>
      <c r="J13" s="91"/>
    </row>
    <row r="14" spans="1:18">
      <c r="A14" s="92" t="s">
        <v>49</v>
      </c>
      <c r="B14" s="92" t="s">
        <v>50</v>
      </c>
      <c r="C14" s="92" t="s">
        <v>51</v>
      </c>
      <c r="D14" s="92" t="s">
        <v>18</v>
      </c>
      <c r="E14" s="92" t="s">
        <v>19</v>
      </c>
      <c r="F14" s="92" t="s">
        <v>20</v>
      </c>
      <c r="G14" s="92" t="s">
        <v>21</v>
      </c>
      <c r="H14" s="92" t="s">
        <v>22</v>
      </c>
      <c r="I14" s="92" t="s">
        <v>23</v>
      </c>
      <c r="J14" s="92" t="s">
        <v>24</v>
      </c>
    </row>
    <row r="15" spans="1:18" ht="15.75">
      <c r="A15" s="44"/>
      <c r="B15" s="177">
        <v>42316</v>
      </c>
      <c r="C15" s="178">
        <v>28</v>
      </c>
      <c r="D15" s="178">
        <v>20.84</v>
      </c>
      <c r="E15" s="178">
        <v>17.53</v>
      </c>
      <c r="F15" s="178">
        <v>15.51</v>
      </c>
      <c r="G15" s="178">
        <v>14.1</v>
      </c>
      <c r="H15" s="178">
        <v>13.05</v>
      </c>
      <c r="I15" s="178">
        <f>SUM(C15:H15)</f>
        <v>109.03</v>
      </c>
      <c r="J15" s="178">
        <f>I15/6</f>
        <v>18.171666666666667</v>
      </c>
    </row>
    <row r="16" spans="1:18" ht="15.75">
      <c r="A16" s="35"/>
      <c r="B16" s="35"/>
      <c r="C16" s="95"/>
      <c r="D16" s="133"/>
      <c r="E16" s="134"/>
      <c r="F16" s="134"/>
      <c r="G16" s="134"/>
      <c r="H16" s="134"/>
      <c r="I16" s="134"/>
      <c r="J16" s="134"/>
      <c r="K16" s="134"/>
      <c r="L16" s="134"/>
    </row>
    <row r="17" spans="1:12" ht="15.75">
      <c r="A17" s="35"/>
      <c r="B17" s="35"/>
      <c r="C17" s="95"/>
      <c r="D17" s="133"/>
      <c r="E17" s="95"/>
      <c r="F17" s="95"/>
      <c r="G17" s="95"/>
      <c r="H17" s="95"/>
      <c r="I17" s="95"/>
      <c r="J17" s="95"/>
      <c r="K17" s="134"/>
      <c r="L17" s="135"/>
    </row>
    <row r="18" spans="1:12" ht="15.75">
      <c r="A18" s="35"/>
      <c r="B18" s="35"/>
      <c r="C18" s="95"/>
      <c r="D18" s="164"/>
      <c r="E18" s="626"/>
      <c r="F18" s="626"/>
      <c r="G18" s="626"/>
      <c r="H18" s="626"/>
      <c r="I18" s="626"/>
      <c r="J18" s="164"/>
      <c r="K18" s="164"/>
      <c r="L18" s="35"/>
    </row>
    <row r="19" spans="1:12" ht="15.75">
      <c r="A19" s="35"/>
      <c r="B19" s="35"/>
      <c r="C19" s="95"/>
      <c r="D19" s="164"/>
      <c r="E19" s="164"/>
      <c r="F19" s="164"/>
      <c r="G19" s="164"/>
      <c r="H19" s="164"/>
      <c r="I19" s="164"/>
      <c r="J19" s="164"/>
      <c r="K19" s="164"/>
      <c r="L19" s="35"/>
    </row>
    <row r="20" spans="1:12">
      <c r="B20" s="169">
        <v>42227</v>
      </c>
      <c r="D20" s="169" t="s">
        <v>139</v>
      </c>
      <c r="J20" s="168" t="s">
        <v>140</v>
      </c>
    </row>
    <row r="21" spans="1:12">
      <c r="A21" s="170"/>
      <c r="B21" s="171"/>
      <c r="D21" s="172"/>
      <c r="E21" s="168" t="s">
        <v>78</v>
      </c>
      <c r="F21" s="168" t="s">
        <v>79</v>
      </c>
      <c r="G21" s="168" t="s">
        <v>78</v>
      </c>
      <c r="J21" s="168" t="s">
        <v>141</v>
      </c>
    </row>
    <row r="22" spans="1:12">
      <c r="A22" s="170"/>
      <c r="B22" s="171"/>
      <c r="D22" s="172"/>
      <c r="E22" s="171"/>
    </row>
    <row r="23" spans="1:12">
      <c r="A23" s="170">
        <v>0.48472222222222222</v>
      </c>
      <c r="B23" s="171">
        <v>140</v>
      </c>
      <c r="D23" s="172"/>
      <c r="E23" s="171"/>
      <c r="K23" s="173"/>
    </row>
    <row r="24" spans="1:12">
      <c r="A24" s="170">
        <v>0.48888888888888887</v>
      </c>
      <c r="B24" s="171">
        <v>130</v>
      </c>
      <c r="C24" s="168">
        <v>140</v>
      </c>
      <c r="D24" s="172"/>
      <c r="E24" s="171">
        <f>G24</f>
        <v>5.9999999999999787</v>
      </c>
      <c r="F24" s="168">
        <f>C24-B24</f>
        <v>10</v>
      </c>
      <c r="G24" s="174">
        <f>(A24-A23)*4*360</f>
        <v>5.9999999999999787</v>
      </c>
      <c r="J24" s="175">
        <f>F24/G24</f>
        <v>1.6666666666666725</v>
      </c>
      <c r="K24" s="173">
        <f t="shared" ref="K24:K30" si="0">J24*60*24</f>
        <v>2400.0000000000086</v>
      </c>
    </row>
    <row r="25" spans="1:12">
      <c r="A25" s="170">
        <v>0.49236111111111108</v>
      </c>
      <c r="B25" s="171">
        <v>133</v>
      </c>
      <c r="C25" s="168">
        <v>137</v>
      </c>
      <c r="D25" s="172"/>
      <c r="E25" s="171">
        <f>E24+G25</f>
        <v>10.999999999999961</v>
      </c>
      <c r="F25" s="168">
        <f t="shared" ref="F25:F30" si="1">C25-B25</f>
        <v>4</v>
      </c>
      <c r="G25" s="174">
        <f t="shared" ref="G25:G30" si="2">(A25-A24)*4*360</f>
        <v>4.9999999999999822</v>
      </c>
      <c r="J25" s="175">
        <f>F25/G25</f>
        <v>0.80000000000000282</v>
      </c>
      <c r="K25" s="173">
        <f t="shared" si="0"/>
        <v>1152.0000000000041</v>
      </c>
    </row>
    <row r="26" spans="1:12">
      <c r="A26" s="170">
        <v>0.49583333333333335</v>
      </c>
      <c r="B26" s="171">
        <v>137</v>
      </c>
      <c r="C26" s="168">
        <v>140</v>
      </c>
      <c r="D26" s="172"/>
      <c r="E26" s="171">
        <f t="shared" ref="E26:E47" si="3">E25+G26</f>
        <v>16.000000000000021</v>
      </c>
      <c r="F26" s="168">
        <f t="shared" si="1"/>
        <v>3</v>
      </c>
      <c r="G26" s="174">
        <f t="shared" si="2"/>
        <v>5.0000000000000622</v>
      </c>
      <c r="J26" s="175"/>
      <c r="K26" s="173"/>
    </row>
    <row r="27" spans="1:12">
      <c r="A27" s="170">
        <v>0.50277777777777777</v>
      </c>
      <c r="B27" s="171">
        <v>134</v>
      </c>
      <c r="C27" s="168">
        <v>140</v>
      </c>
      <c r="D27" s="172"/>
      <c r="E27" s="171">
        <f t="shared" si="3"/>
        <v>25.999999999999986</v>
      </c>
      <c r="F27" s="168">
        <f t="shared" si="1"/>
        <v>6</v>
      </c>
      <c r="G27" s="174">
        <f t="shared" si="2"/>
        <v>9.9999999999999645</v>
      </c>
      <c r="J27" s="175">
        <f t="shared" ref="J27:J34" si="4">F27/G27</f>
        <v>0.60000000000000209</v>
      </c>
      <c r="K27" s="173">
        <f t="shared" si="0"/>
        <v>864.00000000000307</v>
      </c>
    </row>
    <row r="28" spans="1:12">
      <c r="A28" s="170">
        <v>0.50902777777777775</v>
      </c>
      <c r="B28" s="171">
        <v>135</v>
      </c>
      <c r="C28" s="168">
        <v>140</v>
      </c>
      <c r="D28" s="172"/>
      <c r="E28" s="171">
        <f t="shared" si="3"/>
        <v>34.999999999999957</v>
      </c>
      <c r="F28" s="168">
        <f t="shared" si="1"/>
        <v>5</v>
      </c>
      <c r="G28" s="174">
        <f t="shared" si="2"/>
        <v>8.999999999999968</v>
      </c>
      <c r="J28" s="175">
        <f t="shared" si="4"/>
        <v>0.55555555555555758</v>
      </c>
      <c r="K28" s="173">
        <f t="shared" si="0"/>
        <v>800.00000000000296</v>
      </c>
    </row>
    <row r="29" spans="1:12">
      <c r="A29" s="170">
        <v>0.51597222222222217</v>
      </c>
      <c r="B29" s="171">
        <v>134</v>
      </c>
      <c r="C29" s="168">
        <v>139</v>
      </c>
      <c r="D29" s="172"/>
      <c r="E29" s="171">
        <f t="shared" si="3"/>
        <v>44.999999999999922</v>
      </c>
      <c r="F29" s="168">
        <f t="shared" si="1"/>
        <v>5</v>
      </c>
      <c r="G29" s="174">
        <f t="shared" si="2"/>
        <v>9.9999999999999645</v>
      </c>
      <c r="J29" s="175">
        <f t="shared" si="4"/>
        <v>0.50000000000000178</v>
      </c>
      <c r="K29" s="173">
        <f t="shared" si="0"/>
        <v>720.0000000000025</v>
      </c>
    </row>
    <row r="30" spans="1:12">
      <c r="A30" s="170">
        <v>0.5229166666666667</v>
      </c>
      <c r="B30" s="171">
        <v>134</v>
      </c>
      <c r="C30" s="168">
        <v>138</v>
      </c>
      <c r="D30" s="172"/>
      <c r="E30" s="171">
        <f t="shared" si="3"/>
        <v>55.000000000000043</v>
      </c>
      <c r="F30" s="168">
        <f t="shared" si="1"/>
        <v>4</v>
      </c>
      <c r="G30" s="174">
        <f t="shared" si="2"/>
        <v>10.000000000000124</v>
      </c>
      <c r="J30" s="175"/>
      <c r="K30" s="173">
        <f t="shared" si="0"/>
        <v>0</v>
      </c>
    </row>
    <row r="31" spans="1:12">
      <c r="A31" s="170">
        <v>0.52986111111111112</v>
      </c>
      <c r="B31" s="171">
        <v>135</v>
      </c>
      <c r="C31" s="168">
        <v>139</v>
      </c>
      <c r="D31" s="172"/>
      <c r="E31" s="171">
        <f t="shared" si="3"/>
        <v>65</v>
      </c>
      <c r="F31" s="168">
        <f>C31-B31</f>
        <v>4</v>
      </c>
      <c r="G31" s="174">
        <f>(A31-A30)*4*360</f>
        <v>9.9999999999999645</v>
      </c>
      <c r="J31" s="175">
        <f t="shared" si="4"/>
        <v>0.40000000000000141</v>
      </c>
      <c r="K31" s="173"/>
    </row>
    <row r="32" spans="1:12">
      <c r="A32" s="170">
        <v>0.53680555555555598</v>
      </c>
      <c r="B32" s="171">
        <v>135</v>
      </c>
      <c r="C32" s="168">
        <v>139</v>
      </c>
      <c r="D32" s="172"/>
      <c r="E32" s="171">
        <f t="shared" si="3"/>
        <v>75.000000000000597</v>
      </c>
      <c r="F32" s="168">
        <f t="shared" ref="F32:F46" si="5">C32-B32</f>
        <v>4</v>
      </c>
      <c r="G32" s="174">
        <f t="shared" ref="G32:G46" si="6">(A32-A31)*4*360</f>
        <v>10.000000000000604</v>
      </c>
      <c r="J32" s="175">
        <f t="shared" si="4"/>
        <v>0.39999999999997582</v>
      </c>
      <c r="K32" s="173"/>
    </row>
    <row r="33" spans="1:16">
      <c r="A33" s="170">
        <v>0.54374999999999996</v>
      </c>
      <c r="B33" s="171">
        <v>136</v>
      </c>
      <c r="C33" s="168">
        <v>140</v>
      </c>
      <c r="E33" s="171">
        <f t="shared" si="3"/>
        <v>84.999999999999915</v>
      </c>
      <c r="F33" s="168">
        <f t="shared" si="5"/>
        <v>4</v>
      </c>
      <c r="G33" s="174">
        <f t="shared" si="6"/>
        <v>9.999999999999325</v>
      </c>
      <c r="J33" s="175">
        <f t="shared" si="4"/>
        <v>0.400000000000027</v>
      </c>
    </row>
    <row r="34" spans="1:16">
      <c r="A34" s="170">
        <v>0.55069444444444404</v>
      </c>
      <c r="B34" s="171">
        <v>136</v>
      </c>
      <c r="C34" s="168">
        <v>140</v>
      </c>
      <c r="E34" s="171">
        <f t="shared" si="3"/>
        <v>94.999999999999403</v>
      </c>
      <c r="F34" s="168">
        <f t="shared" si="5"/>
        <v>4</v>
      </c>
      <c r="G34" s="174">
        <f t="shared" si="6"/>
        <v>9.9999999999994849</v>
      </c>
      <c r="J34" s="175">
        <f t="shared" si="4"/>
        <v>0.40000000000002062</v>
      </c>
    </row>
    <row r="35" spans="1:16">
      <c r="A35" s="170">
        <v>0.55763888888888902</v>
      </c>
      <c r="B35" s="171">
        <v>136</v>
      </c>
      <c r="C35" s="168">
        <v>139</v>
      </c>
      <c r="E35" s="171">
        <f t="shared" si="3"/>
        <v>105.00000000000017</v>
      </c>
      <c r="F35" s="168">
        <f t="shared" si="5"/>
        <v>3</v>
      </c>
      <c r="G35" s="174">
        <f t="shared" si="6"/>
        <v>10.000000000000764</v>
      </c>
      <c r="J35" s="175"/>
    </row>
    <row r="36" spans="1:16">
      <c r="A36" s="170">
        <v>0.56458333333333299</v>
      </c>
      <c r="B36" s="171">
        <v>136</v>
      </c>
      <c r="C36" s="168">
        <v>140</v>
      </c>
      <c r="E36" s="171">
        <f t="shared" si="3"/>
        <v>114.99999999999949</v>
      </c>
      <c r="F36" s="168">
        <f t="shared" si="5"/>
        <v>4</v>
      </c>
      <c r="G36" s="174">
        <f t="shared" si="6"/>
        <v>9.999999999999325</v>
      </c>
      <c r="J36" s="175">
        <f t="shared" ref="J36:J39" si="7">F36/G36</f>
        <v>0.400000000000027</v>
      </c>
    </row>
    <row r="37" spans="1:16">
      <c r="A37" s="170">
        <v>0.61458333333333337</v>
      </c>
      <c r="B37" s="171">
        <v>117</v>
      </c>
      <c r="C37" s="168">
        <v>140</v>
      </c>
      <c r="E37" s="171">
        <f t="shared" si="3"/>
        <v>187.00000000000003</v>
      </c>
      <c r="F37" s="168">
        <f>C37-B37</f>
        <v>23</v>
      </c>
      <c r="G37" s="174">
        <f t="shared" si="6"/>
        <v>72.00000000000054</v>
      </c>
      <c r="J37" s="175">
        <f>F37/G37</f>
        <v>0.31944444444444203</v>
      </c>
    </row>
    <row r="38" spans="1:16">
      <c r="A38" s="170">
        <v>0.62152777777777779</v>
      </c>
      <c r="B38" s="171">
        <v>135</v>
      </c>
      <c r="C38" s="168">
        <v>140</v>
      </c>
      <c r="E38" s="171">
        <f t="shared" si="3"/>
        <v>197</v>
      </c>
      <c r="F38" s="168">
        <f t="shared" si="5"/>
        <v>5</v>
      </c>
      <c r="G38" s="174">
        <f t="shared" si="6"/>
        <v>9.9999999999999645</v>
      </c>
      <c r="J38" s="175"/>
    </row>
    <row r="39" spans="1:16">
      <c r="A39" s="170">
        <v>0.63611111111111118</v>
      </c>
      <c r="B39" s="171">
        <v>135</v>
      </c>
      <c r="C39" s="168">
        <v>141</v>
      </c>
      <c r="E39" s="171">
        <f t="shared" si="3"/>
        <v>218.00000000000009</v>
      </c>
      <c r="F39" s="168">
        <f t="shared" si="5"/>
        <v>6</v>
      </c>
      <c r="G39" s="174">
        <f t="shared" si="6"/>
        <v>21.000000000000085</v>
      </c>
      <c r="J39" s="175">
        <f t="shared" si="7"/>
        <v>0.28571428571428453</v>
      </c>
    </row>
    <row r="40" spans="1:16">
      <c r="A40" s="170">
        <v>0.65</v>
      </c>
      <c r="B40" s="171">
        <v>136</v>
      </c>
      <c r="C40" s="168">
        <v>151</v>
      </c>
      <c r="E40" s="171">
        <f t="shared" si="3"/>
        <v>238</v>
      </c>
      <c r="F40" s="168">
        <f t="shared" si="5"/>
        <v>15</v>
      </c>
      <c r="G40" s="174">
        <f>(A40-A39)*4*360</f>
        <v>19.999999999999929</v>
      </c>
      <c r="J40" s="175"/>
    </row>
    <row r="41" spans="1:16">
      <c r="A41" s="170">
        <v>0.66527777777777775</v>
      </c>
      <c r="B41" s="171">
        <v>146</v>
      </c>
      <c r="C41" s="168">
        <v>151</v>
      </c>
      <c r="E41" s="171">
        <f t="shared" si="3"/>
        <v>259.99999999999994</v>
      </c>
      <c r="F41" s="168">
        <f>C41-B41</f>
        <v>5</v>
      </c>
      <c r="G41" s="174">
        <f t="shared" si="6"/>
        <v>21.999999999999922</v>
      </c>
      <c r="J41" s="175">
        <f>(C40-B41)/22</f>
        <v>0.22727272727272727</v>
      </c>
    </row>
    <row r="42" spans="1:16">
      <c r="A42" s="170">
        <v>0.67708333333333337</v>
      </c>
      <c r="B42" s="171">
        <v>142</v>
      </c>
      <c r="C42" s="168">
        <v>146</v>
      </c>
      <c r="E42" s="171">
        <f t="shared" si="3"/>
        <v>277.00000000000006</v>
      </c>
      <c r="F42" s="168">
        <f>C42-B42</f>
        <v>4</v>
      </c>
      <c r="G42" s="174">
        <f>(A42-A41)*4*360</f>
        <v>17.000000000000099</v>
      </c>
      <c r="J42" s="175">
        <f>(C40-B42)/39</f>
        <v>0.23076923076923078</v>
      </c>
    </row>
    <row r="43" spans="1:16">
      <c r="A43" s="170">
        <v>0.68194444444444446</v>
      </c>
      <c r="B43" s="171">
        <v>140</v>
      </c>
      <c r="C43" s="168">
        <v>141</v>
      </c>
      <c r="E43" s="171">
        <f t="shared" si="3"/>
        <v>284.00000000000006</v>
      </c>
      <c r="F43" s="168">
        <f t="shared" si="5"/>
        <v>1</v>
      </c>
      <c r="G43" s="174">
        <f t="shared" si="6"/>
        <v>6.9999999999999751</v>
      </c>
      <c r="J43" s="175"/>
      <c r="N43" s="168">
        <v>60</v>
      </c>
      <c r="O43" s="168">
        <f>2.6695*N43^-0.426</f>
        <v>0.46659221943815321</v>
      </c>
      <c r="P43" s="168">
        <f>O43*60</f>
        <v>27.995533166289192</v>
      </c>
    </row>
    <row r="44" spans="1:16">
      <c r="A44" s="170">
        <v>0.68888888888888899</v>
      </c>
      <c r="B44" s="171">
        <v>137</v>
      </c>
      <c r="C44" s="168">
        <v>140</v>
      </c>
      <c r="E44" s="171">
        <f t="shared" si="3"/>
        <v>294.00000000000017</v>
      </c>
      <c r="F44" s="168">
        <v>2.5</v>
      </c>
      <c r="G44" s="174">
        <f t="shared" si="6"/>
        <v>10.000000000000124</v>
      </c>
      <c r="J44" s="175">
        <f>F44/G44</f>
        <v>0.24999999999999689</v>
      </c>
      <c r="N44" s="168">
        <v>120</v>
      </c>
      <c r="O44" s="168">
        <f t="shared" ref="O44:O48" si="8">2.6695*N44^-0.426</f>
        <v>0.34729514678211576</v>
      </c>
      <c r="P44" s="168">
        <f t="shared" ref="P44:P48" si="9">O44*60</f>
        <v>20.837708806926944</v>
      </c>
    </row>
    <row r="45" spans="1:16">
      <c r="A45" s="170">
        <v>0.69305555555555554</v>
      </c>
      <c r="B45" s="171">
        <v>136</v>
      </c>
      <c r="C45" s="168">
        <v>137</v>
      </c>
      <c r="E45" s="171">
        <f t="shared" si="3"/>
        <v>300</v>
      </c>
      <c r="F45" s="168">
        <f t="shared" si="5"/>
        <v>1</v>
      </c>
      <c r="G45" s="174">
        <f t="shared" si="6"/>
        <v>5.9999999999998188</v>
      </c>
      <c r="J45" s="175"/>
      <c r="N45" s="168">
        <v>180</v>
      </c>
      <c r="O45" s="168">
        <f t="shared" si="8"/>
        <v>0.29220243992238404</v>
      </c>
      <c r="P45" s="168">
        <f t="shared" si="9"/>
        <v>17.532146395343041</v>
      </c>
    </row>
    <row r="46" spans="1:16">
      <c r="A46" s="170">
        <v>0.7006944444444444</v>
      </c>
      <c r="B46" s="171">
        <v>135</v>
      </c>
      <c r="C46" s="168">
        <v>136</v>
      </c>
      <c r="E46" s="171">
        <f t="shared" si="3"/>
        <v>310.99999999999994</v>
      </c>
      <c r="F46" s="168">
        <f t="shared" si="5"/>
        <v>1</v>
      </c>
      <c r="G46" s="174">
        <f t="shared" si="6"/>
        <v>10.999999999999961</v>
      </c>
      <c r="J46" s="175"/>
      <c r="N46" s="168">
        <v>240</v>
      </c>
      <c r="O46" s="168">
        <f t="shared" si="8"/>
        <v>0.25849963619978189</v>
      </c>
      <c r="P46" s="168">
        <f t="shared" si="9"/>
        <v>15.509978171986914</v>
      </c>
    </row>
    <row r="47" spans="1:16">
      <c r="A47" s="170">
        <v>0.70486111111111116</v>
      </c>
      <c r="B47" s="171">
        <v>132</v>
      </c>
      <c r="C47" s="168">
        <v>134</v>
      </c>
      <c r="E47" s="171">
        <f t="shared" si="3"/>
        <v>317.00000000000006</v>
      </c>
      <c r="F47" s="168">
        <v>1</v>
      </c>
      <c r="G47" s="174">
        <f>(A47-A46)*4*360</f>
        <v>6.0000000000001386</v>
      </c>
      <c r="J47" s="175">
        <f>(B41-B47)/57</f>
        <v>0.24561403508771928</v>
      </c>
      <c r="N47" s="168">
        <v>300</v>
      </c>
      <c r="O47" s="168">
        <f t="shared" si="8"/>
        <v>0.23505866792627428</v>
      </c>
      <c r="P47" s="168">
        <f t="shared" si="9"/>
        <v>14.103520075576457</v>
      </c>
    </row>
    <row r="48" spans="1:16">
      <c r="A48" s="170">
        <v>0.70833333333333337</v>
      </c>
      <c r="B48" s="171">
        <v>131</v>
      </c>
      <c r="C48" s="168">
        <v>132</v>
      </c>
      <c r="E48" s="171">
        <f>E47+G48</f>
        <v>322.00000000000006</v>
      </c>
      <c r="F48" s="168">
        <f>C48-B48</f>
        <v>1</v>
      </c>
      <c r="G48" s="174">
        <f>(A48-A47)*4*360</f>
        <v>4.9999999999999822</v>
      </c>
      <c r="J48" s="175">
        <f>(B41-B47)/62</f>
        <v>0.22580645161290322</v>
      </c>
      <c r="K48" s="168">
        <f>J48*60*24</f>
        <v>325.16129032258067</v>
      </c>
      <c r="N48" s="168">
        <v>360</v>
      </c>
      <c r="O48" s="168">
        <f t="shared" si="8"/>
        <v>0.21749288786927146</v>
      </c>
      <c r="P48" s="168">
        <f t="shared" si="9"/>
        <v>13.049573272156287</v>
      </c>
    </row>
    <row r="49" spans="1:16">
      <c r="G49" s="174">
        <f>SUM(G24:G48)</f>
        <v>322.00000000000006</v>
      </c>
    </row>
    <row r="50" spans="1:16">
      <c r="G50" s="174">
        <f>G49/60</f>
        <v>5.366666666666668</v>
      </c>
      <c r="J50" s="168">
        <f>J48*60</f>
        <v>13.548387096774194</v>
      </c>
    </row>
    <row r="53" spans="1:16">
      <c r="K53" s="168">
        <f>0.244*60*24/1000</f>
        <v>0.35136000000000001</v>
      </c>
    </row>
    <row r="54" spans="1:16">
      <c r="P54" s="168">
        <f>10/45</f>
        <v>0.22222222222222221</v>
      </c>
    </row>
    <row r="58" spans="1:16" ht="15.75">
      <c r="A58" s="35"/>
      <c r="B58" s="35"/>
      <c r="C58" s="95"/>
      <c r="D58" s="626"/>
      <c r="E58" s="164"/>
      <c r="F58" s="164"/>
      <c r="G58" s="164"/>
      <c r="H58" s="164"/>
      <c r="I58" s="164"/>
      <c r="J58" s="164"/>
      <c r="K58" s="164"/>
      <c r="L58" s="35"/>
    </row>
    <row r="59" spans="1:16" ht="15.75">
      <c r="A59" s="35"/>
      <c r="B59" s="35"/>
      <c r="C59" s="95"/>
      <c r="D59" s="626"/>
      <c r="E59" s="164"/>
      <c r="F59" s="164"/>
      <c r="G59" s="164"/>
      <c r="H59" s="164"/>
      <c r="I59" s="164"/>
      <c r="J59" s="164"/>
      <c r="K59" s="164"/>
      <c r="L59" s="35"/>
    </row>
    <row r="60" spans="1:16" ht="15.75">
      <c r="A60" s="35"/>
      <c r="B60" s="35"/>
      <c r="C60" s="95"/>
      <c r="D60" s="626"/>
      <c r="E60" s="136"/>
      <c r="F60" s="164"/>
      <c r="G60" s="136"/>
      <c r="H60" s="136"/>
      <c r="I60" s="136"/>
      <c r="J60" s="136"/>
      <c r="K60" s="164"/>
      <c r="L60" s="35"/>
    </row>
  </sheetData>
  <mergeCells count="7">
    <mergeCell ref="J11:J12"/>
    <mergeCell ref="E18:I18"/>
    <mergeCell ref="D58:D60"/>
    <mergeCell ref="A11:A12"/>
    <mergeCell ref="B11:B12"/>
    <mergeCell ref="C11:H11"/>
    <mergeCell ref="I11:I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8"/>
  <sheetViews>
    <sheetView topLeftCell="E10" workbookViewId="0">
      <selection activeCell="B11" sqref="B11:D12"/>
    </sheetView>
  </sheetViews>
  <sheetFormatPr defaultRowHeight="12.75"/>
  <cols>
    <col min="1" max="2" width="9.140625" style="4"/>
    <col min="3" max="3" width="17.28515625" style="4" customWidth="1"/>
    <col min="4" max="4" width="10.7109375" style="4" customWidth="1"/>
    <col min="5" max="5" width="11.42578125" style="4" customWidth="1"/>
    <col min="6" max="6" width="11.28515625" style="4" customWidth="1"/>
    <col min="7" max="7" width="12" style="4" customWidth="1"/>
    <col min="8" max="8" width="12.28515625" style="4" customWidth="1"/>
    <col min="9" max="9" width="10.42578125" style="4" customWidth="1"/>
    <col min="10" max="10" width="13.7109375" style="4" customWidth="1"/>
    <col min="11" max="11" width="9.140625" style="4"/>
    <col min="12" max="12" width="8.7109375" style="4" customWidth="1"/>
    <col min="13" max="13" width="9.85546875" style="4" customWidth="1"/>
    <col min="14" max="14" width="9.7109375" style="4" customWidth="1"/>
    <col min="15" max="15" width="13.28515625" style="4" customWidth="1"/>
    <col min="16" max="16" width="12.5703125" style="4" customWidth="1"/>
    <col min="17" max="17" width="13.85546875" style="4" customWidth="1"/>
    <col min="18" max="16384" width="9.140625" style="4"/>
  </cols>
  <sheetData>
    <row r="1" spans="1:16" s="168" customFormat="1" ht="15">
      <c r="A1" s="35"/>
      <c r="B1" s="35"/>
      <c r="C1" s="35"/>
      <c r="D1" s="35"/>
      <c r="E1" s="35"/>
      <c r="F1" s="35"/>
      <c r="G1" s="35"/>
      <c r="H1" s="35"/>
      <c r="I1" s="35"/>
    </row>
    <row r="2" spans="1:16" s="35" customFormat="1">
      <c r="A2" s="163" t="s">
        <v>142</v>
      </c>
      <c r="C2" s="37"/>
      <c r="D2" s="36"/>
      <c r="E2" s="36"/>
      <c r="F2" s="36"/>
      <c r="G2" s="36"/>
      <c r="H2" s="36"/>
      <c r="I2" s="36"/>
      <c r="J2" s="36"/>
      <c r="K2" s="36"/>
      <c r="L2" s="37"/>
      <c r="M2" s="37"/>
      <c r="N2" s="37"/>
      <c r="O2" s="37"/>
    </row>
    <row r="3" spans="1:16" s="35" customFormat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5" customFormat="1">
      <c r="C4" s="38"/>
      <c r="L4" s="38"/>
      <c r="M4" s="38"/>
      <c r="N4" s="38"/>
      <c r="O4" s="38"/>
    </row>
    <row r="5" spans="1:16" s="35" customFormat="1">
      <c r="A5" s="36" t="s">
        <v>144</v>
      </c>
      <c r="B5" s="39"/>
      <c r="C5" s="36" t="s">
        <v>145</v>
      </c>
      <c r="E5" s="36" t="s">
        <v>147</v>
      </c>
      <c r="G5" s="39"/>
      <c r="K5" s="36"/>
      <c r="L5" s="38"/>
      <c r="M5" s="38"/>
      <c r="N5" s="38"/>
      <c r="O5" s="38"/>
    </row>
    <row r="6" spans="1:16" s="43" customFormat="1">
      <c r="A6" s="46"/>
      <c r="B6" s="47"/>
      <c r="C6" s="36" t="s">
        <v>354</v>
      </c>
      <c r="D6" s="46"/>
      <c r="E6" s="46"/>
      <c r="F6" s="46"/>
      <c r="H6" s="46"/>
      <c r="J6" s="46"/>
      <c r="K6" s="47"/>
      <c r="L6" s="47"/>
    </row>
    <row r="7" spans="1:16" s="168" customFormat="1" ht="15">
      <c r="A7" s="35"/>
      <c r="B7" s="35"/>
      <c r="D7" s="35"/>
      <c r="E7" s="35"/>
      <c r="F7" s="35"/>
      <c r="G7" s="35"/>
      <c r="H7" s="35"/>
      <c r="I7" s="35"/>
      <c r="J7" s="35"/>
    </row>
    <row r="8" spans="1:16">
      <c r="C8" s="36" t="s">
        <v>346</v>
      </c>
      <c r="K8" s="29"/>
    </row>
    <row r="9" spans="1:16">
      <c r="J9" s="4" t="s">
        <v>624</v>
      </c>
    </row>
    <row r="10" spans="1:16" ht="13.5" thickBot="1">
      <c r="D10" s="25"/>
      <c r="E10" s="28"/>
      <c r="F10" s="29"/>
      <c r="G10" s="29"/>
      <c r="H10" s="29"/>
      <c r="I10" s="29"/>
      <c r="J10" s="29"/>
      <c r="K10" s="29"/>
    </row>
    <row r="11" spans="1:16" ht="16.5" thickBot="1">
      <c r="A11" s="627" t="s">
        <v>89</v>
      </c>
      <c r="B11" s="628" t="s">
        <v>68</v>
      </c>
      <c r="C11" s="5" t="s">
        <v>725</v>
      </c>
      <c r="D11" s="5" t="s">
        <v>723</v>
      </c>
      <c r="E11" s="631" t="s">
        <v>228</v>
      </c>
      <c r="F11" s="632"/>
      <c r="G11" s="632"/>
      <c r="H11" s="632"/>
      <c r="I11" s="632"/>
      <c r="J11" s="6" t="s">
        <v>724</v>
      </c>
      <c r="K11" s="29"/>
    </row>
    <row r="12" spans="1:16" ht="16.5" thickBot="1">
      <c r="A12" s="627"/>
      <c r="B12" s="628"/>
      <c r="C12" s="7"/>
      <c r="D12" s="22"/>
      <c r="E12" s="8" t="s">
        <v>342</v>
      </c>
      <c r="F12" s="8" t="s">
        <v>343</v>
      </c>
      <c r="G12" s="8" t="s">
        <v>344</v>
      </c>
      <c r="H12" s="9"/>
      <c r="I12" s="9"/>
      <c r="J12" s="10"/>
    </row>
    <row r="13" spans="1:16">
      <c r="A13" s="11"/>
      <c r="B13" s="12"/>
      <c r="C13" s="31"/>
      <c r="D13" s="31">
        <v>1</v>
      </c>
      <c r="E13" s="13">
        <v>0.28881963824289431</v>
      </c>
      <c r="F13" s="13">
        <v>0.31263303909205559</v>
      </c>
      <c r="G13" s="13">
        <v>0.31164833333333331</v>
      </c>
      <c r="H13" s="23"/>
      <c r="I13" s="23"/>
      <c r="J13" s="13">
        <f t="shared" ref="J13:J24" si="0">AVERAGE(E13:I13)</f>
        <v>0.30436700355609442</v>
      </c>
    </row>
    <row r="14" spans="1:16">
      <c r="A14" s="15"/>
      <c r="B14" s="16"/>
      <c r="C14" s="541" t="s">
        <v>727</v>
      </c>
      <c r="D14" s="31">
        <v>2</v>
      </c>
      <c r="E14" s="13">
        <v>0.2887168059424326</v>
      </c>
      <c r="F14" s="13">
        <v>0.33044647387113141</v>
      </c>
      <c r="G14" s="13">
        <v>0.30717838696861327</v>
      </c>
      <c r="H14" s="23"/>
      <c r="I14" s="23"/>
      <c r="J14" s="13">
        <f t="shared" si="0"/>
        <v>0.30878055559405909</v>
      </c>
    </row>
    <row r="15" spans="1:16">
      <c r="A15" s="15"/>
      <c r="B15" s="16"/>
      <c r="C15" s="542"/>
      <c r="D15" s="31">
        <v>3</v>
      </c>
      <c r="E15" s="17">
        <v>0.30338694336359717</v>
      </c>
      <c r="F15" s="17">
        <v>0.29522768092974111</v>
      </c>
      <c r="G15" s="17">
        <v>0.28755408388520948</v>
      </c>
      <c r="H15" s="23"/>
      <c r="I15" s="23"/>
      <c r="J15" s="13">
        <f t="shared" si="0"/>
        <v>0.29538956939284927</v>
      </c>
    </row>
    <row r="16" spans="1:16" ht="13.5" thickBot="1">
      <c r="A16" s="18"/>
      <c r="B16" s="19"/>
      <c r="C16" s="541" t="s">
        <v>726</v>
      </c>
      <c r="D16" s="31"/>
      <c r="E16" s="27">
        <f>AVERAGE(E13:E15)</f>
        <v>0.29364112918297469</v>
      </c>
      <c r="F16" s="27">
        <f>AVERAGE(F13:F15)</f>
        <v>0.31276906463097603</v>
      </c>
      <c r="G16" s="27">
        <f>AVERAGE(G13:G15)</f>
        <v>0.30212693472905205</v>
      </c>
      <c r="H16" s="27"/>
      <c r="I16" s="27"/>
      <c r="J16" s="34">
        <f t="shared" si="0"/>
        <v>0.30284570951433426</v>
      </c>
    </row>
    <row r="17" spans="1:10">
      <c r="A17" s="11"/>
      <c r="B17" s="12"/>
      <c r="C17" s="542"/>
      <c r="D17" s="31">
        <v>1</v>
      </c>
      <c r="E17" s="13">
        <v>0.28440928270042198</v>
      </c>
      <c r="F17" s="13">
        <v>0.25623188405797137</v>
      </c>
      <c r="G17" s="13">
        <v>0.25697674418604655</v>
      </c>
      <c r="H17" s="13"/>
      <c r="I17" s="13"/>
      <c r="J17" s="13">
        <f t="shared" si="0"/>
        <v>0.26587263698147995</v>
      </c>
    </row>
    <row r="18" spans="1:10">
      <c r="A18" s="15"/>
      <c r="B18" s="16"/>
      <c r="C18" s="541" t="s">
        <v>262</v>
      </c>
      <c r="D18" s="31">
        <v>2</v>
      </c>
      <c r="E18" s="13">
        <v>0.27509275882704942</v>
      </c>
      <c r="F18" s="13">
        <v>0.26074455899198162</v>
      </c>
      <c r="G18" s="13">
        <v>0.2553777777777782</v>
      </c>
      <c r="H18" s="13"/>
      <c r="I18" s="13"/>
      <c r="J18" s="13">
        <f t="shared" si="0"/>
        <v>0.2637383651989364</v>
      </c>
    </row>
    <row r="19" spans="1:10">
      <c r="A19" s="15"/>
      <c r="B19" s="16"/>
      <c r="C19" s="542"/>
      <c r="D19" s="31">
        <v>3</v>
      </c>
      <c r="E19" s="17">
        <v>0.26653266331658287</v>
      </c>
      <c r="F19" s="17">
        <v>0.29121161362367393</v>
      </c>
      <c r="G19" s="17">
        <v>0.26436827956989267</v>
      </c>
      <c r="H19" s="17"/>
      <c r="I19" s="17"/>
      <c r="J19" s="13">
        <f t="shared" si="0"/>
        <v>0.27403751883671651</v>
      </c>
    </row>
    <row r="20" spans="1:10" ht="13.5" thickBot="1">
      <c r="A20" s="18"/>
      <c r="B20" s="19"/>
      <c r="C20" s="541" t="s">
        <v>726</v>
      </c>
      <c r="D20" s="31"/>
      <c r="E20" s="26">
        <f>AVERAGE(E17:E19)</f>
        <v>0.27534490161468478</v>
      </c>
      <c r="F20" s="27">
        <f>AVERAGE(F17:F19)</f>
        <v>0.26939601889120901</v>
      </c>
      <c r="G20" s="27">
        <f>AVERAGE(G17:G19)</f>
        <v>0.25890760051123918</v>
      </c>
      <c r="H20" s="27"/>
      <c r="I20" s="27"/>
      <c r="J20" s="34">
        <f t="shared" si="0"/>
        <v>0.2678828403390443</v>
      </c>
    </row>
    <row r="21" spans="1:10">
      <c r="A21" s="11"/>
      <c r="B21" s="12"/>
      <c r="C21" s="542"/>
      <c r="D21" s="31">
        <v>1</v>
      </c>
      <c r="E21" s="20">
        <v>0.27014729950900168</v>
      </c>
      <c r="F21" s="20">
        <v>0.28555596330275246</v>
      </c>
      <c r="G21" s="20">
        <v>0.27103448275862074</v>
      </c>
      <c r="H21" s="20"/>
      <c r="I21" s="20"/>
      <c r="J21" s="13">
        <f t="shared" si="0"/>
        <v>0.27557924852345833</v>
      </c>
    </row>
    <row r="22" spans="1:10">
      <c r="A22" s="15"/>
      <c r="B22" s="16"/>
      <c r="C22" s="541" t="s">
        <v>60</v>
      </c>
      <c r="D22" s="31">
        <v>2</v>
      </c>
      <c r="E22" s="20">
        <v>0.26941877794336816</v>
      </c>
      <c r="F22" s="20">
        <v>0.28370414201183403</v>
      </c>
      <c r="G22" s="20">
        <v>0.26084070796460174</v>
      </c>
      <c r="H22" s="20"/>
      <c r="I22" s="20"/>
      <c r="J22" s="13">
        <f t="shared" si="0"/>
        <v>0.27132120930660131</v>
      </c>
    </row>
    <row r="23" spans="1:10">
      <c r="A23" s="15"/>
      <c r="B23" s="16"/>
      <c r="C23" s="542"/>
      <c r="D23" s="31">
        <v>3</v>
      </c>
      <c r="E23" s="21">
        <v>0.28605676126878149</v>
      </c>
      <c r="F23" s="21">
        <v>0.28415920398009925</v>
      </c>
      <c r="G23" s="21">
        <v>0.27604436229205176</v>
      </c>
      <c r="H23" s="21"/>
      <c r="I23" s="21"/>
      <c r="J23" s="13">
        <f t="shared" si="0"/>
        <v>0.2820867758469775</v>
      </c>
    </row>
    <row r="24" spans="1:10" ht="13.5" thickBot="1">
      <c r="A24" s="18"/>
      <c r="B24" s="19"/>
      <c r="C24" s="541" t="s">
        <v>726</v>
      </c>
      <c r="D24" s="30"/>
      <c r="E24" s="26">
        <f>AVERAGE(E21:E23)</f>
        <v>0.27520761290705043</v>
      </c>
      <c r="F24" s="26">
        <f>AVERAGE(F22:F23)</f>
        <v>0.28393167299596667</v>
      </c>
      <c r="G24" s="27">
        <f>AVERAGE(G21:G23)</f>
        <v>0.26930651767175806</v>
      </c>
      <c r="H24" s="27"/>
      <c r="I24" s="27"/>
      <c r="J24" s="34">
        <f t="shared" si="0"/>
        <v>0.27614860119159174</v>
      </c>
    </row>
    <row r="25" spans="1:10">
      <c r="A25" s="11"/>
      <c r="B25" s="12"/>
      <c r="C25" s="542"/>
      <c r="D25" s="31">
        <v>1</v>
      </c>
      <c r="E25" s="20">
        <v>0.27243438914027168</v>
      </c>
      <c r="F25" s="20">
        <v>0.19090456431535238</v>
      </c>
      <c r="G25" s="20">
        <v>0.21097142857142853</v>
      </c>
      <c r="H25" s="20"/>
      <c r="I25" s="20"/>
      <c r="J25" s="13">
        <f t="shared" ref="J25:J28" si="1">AVERAGE(E25:I25)</f>
        <v>0.22477012734235088</v>
      </c>
    </row>
    <row r="26" spans="1:10">
      <c r="A26" s="15"/>
      <c r="B26" s="16"/>
      <c r="C26" s="541" t="s">
        <v>61</v>
      </c>
      <c r="D26" s="31">
        <v>2</v>
      </c>
      <c r="E26" s="20">
        <v>0.22123029366306002</v>
      </c>
      <c r="F26" s="20">
        <v>0.22643243243243266</v>
      </c>
      <c r="G26" s="20">
        <v>5.1978779840849067E-2</v>
      </c>
      <c r="H26" s="20"/>
      <c r="I26" s="20"/>
      <c r="J26" s="13">
        <f t="shared" si="1"/>
        <v>0.16654716864544725</v>
      </c>
    </row>
    <row r="27" spans="1:10">
      <c r="A27" s="15"/>
      <c r="B27" s="16"/>
      <c r="C27" s="542"/>
      <c r="D27" s="31">
        <v>3</v>
      </c>
      <c r="E27" s="21">
        <v>0.24542062193126013</v>
      </c>
      <c r="F27" s="21">
        <v>0.21868000000000007</v>
      </c>
      <c r="G27" s="21">
        <v>0.25217758985200844</v>
      </c>
      <c r="H27" s="21"/>
      <c r="I27" s="21"/>
      <c r="J27" s="13">
        <f t="shared" si="1"/>
        <v>0.23875940392775621</v>
      </c>
    </row>
    <row r="28" spans="1:10" ht="13.5" thickBot="1">
      <c r="A28" s="18"/>
      <c r="B28" s="19"/>
      <c r="C28" s="541" t="s">
        <v>726</v>
      </c>
      <c r="D28" s="30"/>
      <c r="E28" s="26">
        <f>AVERAGE(E25:E27)</f>
        <v>0.24636176824486392</v>
      </c>
      <c r="F28" s="26">
        <f>AVERAGE(F26:F27)</f>
        <v>0.22255621621621635</v>
      </c>
      <c r="G28" s="27">
        <f>AVERAGE(G25:G27)</f>
        <v>0.17170926608809536</v>
      </c>
      <c r="H28" s="27"/>
      <c r="I28" s="27"/>
      <c r="J28" s="34">
        <f t="shared" si="1"/>
        <v>0.21354241684972519</v>
      </c>
    </row>
    <row r="29" spans="1:10">
      <c r="A29" s="11"/>
      <c r="B29" s="12"/>
      <c r="C29" s="542"/>
      <c r="D29" s="31">
        <v>1</v>
      </c>
      <c r="E29" s="20">
        <v>0.12775438596491248</v>
      </c>
      <c r="F29" s="20">
        <v>0.12186719263642343</v>
      </c>
      <c r="G29" s="20">
        <v>7.8542372881356029E-2</v>
      </c>
      <c r="H29" s="20"/>
      <c r="I29" s="20"/>
      <c r="J29" s="13">
        <f t="shared" ref="J29:J32" si="2">AVERAGE(E29:I29)</f>
        <v>0.10938798382756398</v>
      </c>
    </row>
    <row r="30" spans="1:10">
      <c r="A30" s="15"/>
      <c r="B30" s="16"/>
      <c r="C30" s="541" t="s">
        <v>62</v>
      </c>
      <c r="D30" s="31">
        <v>2</v>
      </c>
      <c r="E30" s="20">
        <v>0.14350788288288291</v>
      </c>
      <c r="F30" s="20">
        <v>0.12872222222222224</v>
      </c>
      <c r="G30" s="20">
        <v>0.11950999355254677</v>
      </c>
      <c r="H30" s="20"/>
      <c r="I30" s="20"/>
      <c r="J30" s="13">
        <f t="shared" si="2"/>
        <v>0.13058003288588396</v>
      </c>
    </row>
    <row r="31" spans="1:10">
      <c r="A31" s="15"/>
      <c r="B31" s="16"/>
      <c r="C31" s="542"/>
      <c r="D31" s="31">
        <v>3</v>
      </c>
      <c r="E31" s="21">
        <v>0.13310754843019409</v>
      </c>
      <c r="F31" s="21">
        <v>0.10745507246376823</v>
      </c>
      <c r="G31" s="21">
        <v>0.19645998940116588</v>
      </c>
      <c r="H31" s="21"/>
      <c r="I31" s="21"/>
      <c r="J31" s="13">
        <f t="shared" si="2"/>
        <v>0.14567420343170942</v>
      </c>
    </row>
    <row r="32" spans="1:10" ht="13.5" thickBot="1">
      <c r="A32" s="18"/>
      <c r="B32" s="19"/>
      <c r="C32" s="541" t="s">
        <v>726</v>
      </c>
      <c r="D32" s="30"/>
      <c r="E32" s="26">
        <f>AVERAGE(E29:E31)</f>
        <v>0.13478993909266315</v>
      </c>
      <c r="F32" s="26">
        <f>AVERAGE(F30:F31)</f>
        <v>0.11808864734299523</v>
      </c>
      <c r="G32" s="27">
        <f>AVERAGE(G29:G31)</f>
        <v>0.13150411861168956</v>
      </c>
      <c r="H32" s="27"/>
      <c r="I32" s="27"/>
      <c r="J32" s="34">
        <f t="shared" si="2"/>
        <v>0.12812756834911598</v>
      </c>
    </row>
    <row r="33" spans="1:10">
      <c r="A33" s="11"/>
      <c r="B33" s="12"/>
      <c r="C33" s="542"/>
      <c r="D33" s="31">
        <v>1</v>
      </c>
      <c r="E33" s="20">
        <v>0.1507520661157023</v>
      </c>
      <c r="F33" s="20">
        <v>0.13315728715728706</v>
      </c>
      <c r="G33" s="20">
        <v>0.14281611208406272</v>
      </c>
      <c r="H33" s="20"/>
      <c r="I33" s="20"/>
      <c r="J33" s="13">
        <f t="shared" ref="J33:J36" si="3">AVERAGE(E33:I33)</f>
        <v>0.14224182178568404</v>
      </c>
    </row>
    <row r="34" spans="1:10">
      <c r="A34" s="15"/>
      <c r="B34" s="16"/>
      <c r="C34" s="541" t="s">
        <v>63</v>
      </c>
      <c r="D34" s="31">
        <v>2</v>
      </c>
      <c r="E34" s="20">
        <v>0.12116395222584155</v>
      </c>
      <c r="F34" s="20">
        <v>0.12002237136465321</v>
      </c>
      <c r="G34" s="20">
        <v>0.101887240356083</v>
      </c>
      <c r="H34" s="20"/>
      <c r="I34" s="20"/>
      <c r="J34" s="13">
        <f t="shared" si="3"/>
        <v>0.11435785464885924</v>
      </c>
    </row>
    <row r="35" spans="1:10">
      <c r="A35" s="15"/>
      <c r="B35" s="16"/>
      <c r="C35" s="542"/>
      <c r="D35" s="31">
        <v>3</v>
      </c>
      <c r="E35" s="21">
        <v>0.17148401826484017</v>
      </c>
      <c r="F35" s="21">
        <v>0.17822298065984066</v>
      </c>
      <c r="G35" s="21">
        <v>0.19955650929899854</v>
      </c>
      <c r="H35" s="21"/>
      <c r="I35" s="21"/>
      <c r="J35" s="13">
        <f t="shared" si="3"/>
        <v>0.18308783607455981</v>
      </c>
    </row>
    <row r="36" spans="1:10" ht="13.5" thickBot="1">
      <c r="A36" s="18"/>
      <c r="B36" s="19"/>
      <c r="C36" s="541" t="s">
        <v>726</v>
      </c>
      <c r="D36" s="30"/>
      <c r="E36" s="26">
        <f>AVERAGE(E33:E35)</f>
        <v>0.14780001220212799</v>
      </c>
      <c r="F36" s="26">
        <f>AVERAGE(F34:F35)</f>
        <v>0.14912267601224694</v>
      </c>
      <c r="G36" s="27">
        <f>AVERAGE(G33:G35)</f>
        <v>0.14808662057971475</v>
      </c>
      <c r="H36" s="27"/>
      <c r="I36" s="27"/>
      <c r="J36" s="34">
        <f t="shared" si="3"/>
        <v>0.14833643626469659</v>
      </c>
    </row>
    <row r="37" spans="1:10">
      <c r="A37" s="11"/>
      <c r="B37" s="12"/>
      <c r="C37" s="542"/>
      <c r="D37" s="31">
        <v>1</v>
      </c>
      <c r="E37" s="20">
        <v>0.18040978593272169</v>
      </c>
      <c r="F37" s="20">
        <v>0.1922641744548286</v>
      </c>
      <c r="G37" s="20">
        <v>0.18228752642706145</v>
      </c>
      <c r="H37" s="20"/>
      <c r="I37" s="20"/>
      <c r="J37" s="13">
        <f t="shared" ref="J37:J40" si="4">AVERAGE(E37:I37)</f>
        <v>0.18498716227153725</v>
      </c>
    </row>
    <row r="38" spans="1:10">
      <c r="A38" s="15"/>
      <c r="B38" s="16"/>
      <c r="C38" s="541" t="s">
        <v>64</v>
      </c>
      <c r="D38" s="31">
        <v>2</v>
      </c>
      <c r="E38" s="20">
        <v>0.13950452079565989</v>
      </c>
      <c r="F38" s="20">
        <v>0.20129419439008472</v>
      </c>
      <c r="G38" s="20">
        <v>0.16926820603907672</v>
      </c>
      <c r="H38" s="20"/>
      <c r="I38" s="20"/>
      <c r="J38" s="13">
        <f t="shared" si="4"/>
        <v>0.17002230707494045</v>
      </c>
    </row>
    <row r="39" spans="1:10">
      <c r="A39" s="15"/>
      <c r="B39" s="16"/>
      <c r="C39" s="542"/>
      <c r="D39" s="31">
        <v>3</v>
      </c>
      <c r="E39" s="21">
        <v>0.17530905077262698</v>
      </c>
      <c r="F39" s="21">
        <v>0.18007936507936512</v>
      </c>
      <c r="G39" s="21">
        <v>0.17423385689354259</v>
      </c>
      <c r="H39" s="21"/>
      <c r="I39" s="21"/>
      <c r="J39" s="13">
        <f t="shared" si="4"/>
        <v>0.17654075758184487</v>
      </c>
    </row>
    <row r="40" spans="1:10" ht="13.5" thickBot="1">
      <c r="A40" s="18"/>
      <c r="B40" s="19"/>
      <c r="C40" s="541" t="s">
        <v>726</v>
      </c>
      <c r="D40" s="30"/>
      <c r="E40" s="26">
        <f>AVERAGE(E37:E39)</f>
        <v>0.1650744525003362</v>
      </c>
      <c r="F40" s="26">
        <f>AVERAGE(F38:F39)</f>
        <v>0.19068677973472492</v>
      </c>
      <c r="G40" s="27">
        <f>AVERAGE(G37:G39)</f>
        <v>0.17526319645322688</v>
      </c>
      <c r="H40" s="27"/>
      <c r="I40" s="27"/>
      <c r="J40" s="34">
        <f t="shared" si="4"/>
        <v>0.17700814289609601</v>
      </c>
    </row>
    <row r="41" spans="1:10">
      <c r="A41" s="11"/>
      <c r="B41" s="12"/>
      <c r="C41" s="542"/>
      <c r="D41" s="31">
        <v>1</v>
      </c>
      <c r="E41" s="20">
        <v>0.1951028806584359</v>
      </c>
      <c r="F41" s="20">
        <v>0.18310457516339868</v>
      </c>
      <c r="G41" s="20">
        <v>0.17480354879594398</v>
      </c>
      <c r="H41" s="20"/>
      <c r="I41" s="20"/>
      <c r="J41" s="13">
        <f t="shared" ref="J41:J44" si="5">AVERAGE(E41:I41)</f>
        <v>0.1843370015392595</v>
      </c>
    </row>
    <row r="42" spans="1:10">
      <c r="A42" s="15"/>
      <c r="B42" s="16"/>
      <c r="C42" s="541" t="s">
        <v>65</v>
      </c>
      <c r="D42" s="31">
        <v>2</v>
      </c>
      <c r="E42" s="20">
        <v>0.23519395134779741</v>
      </c>
      <c r="F42" s="20">
        <v>0.23568353694008157</v>
      </c>
      <c r="G42" s="20">
        <v>0.22823299888517279</v>
      </c>
      <c r="H42" s="20"/>
      <c r="I42" s="20"/>
      <c r="J42" s="13">
        <f t="shared" si="5"/>
        <v>0.23303682905768394</v>
      </c>
    </row>
    <row r="43" spans="1:10">
      <c r="A43" s="15"/>
      <c r="B43" s="16"/>
      <c r="C43" s="542"/>
      <c r="D43" s="31">
        <v>3</v>
      </c>
      <c r="E43" s="21">
        <v>0.19105929763960861</v>
      </c>
      <c r="F43" s="21">
        <v>0.25352941176470573</v>
      </c>
      <c r="G43" s="21">
        <v>0.15384404173531024</v>
      </c>
      <c r="H43" s="21"/>
      <c r="I43" s="21"/>
      <c r="J43" s="13">
        <f t="shared" si="5"/>
        <v>0.1994775837132082</v>
      </c>
    </row>
    <row r="44" spans="1:10" ht="13.5" thickBot="1">
      <c r="A44" s="18"/>
      <c r="B44" s="19"/>
      <c r="C44" s="541" t="s">
        <v>726</v>
      </c>
      <c r="D44" s="30"/>
      <c r="E44" s="26">
        <f>AVERAGE(E41:E43)</f>
        <v>0.20711870988194728</v>
      </c>
      <c r="F44" s="26">
        <f>AVERAGE(F42:F43)</f>
        <v>0.24460647435239363</v>
      </c>
      <c r="G44" s="27">
        <f>AVERAGE(G41:G43)</f>
        <v>0.18562686313880902</v>
      </c>
      <c r="H44" s="27"/>
      <c r="I44" s="27"/>
      <c r="J44" s="34">
        <f t="shared" si="5"/>
        <v>0.21245068245771667</v>
      </c>
    </row>
    <row r="45" spans="1:10">
      <c r="A45" s="11"/>
      <c r="B45" s="12"/>
      <c r="C45" s="542"/>
      <c r="D45" s="31">
        <v>1</v>
      </c>
      <c r="E45" s="20">
        <v>0.25437342497136306</v>
      </c>
      <c r="F45" s="20">
        <v>0.24276031215161634</v>
      </c>
      <c r="G45" s="20">
        <v>0.2441272264631045</v>
      </c>
      <c r="H45" s="20"/>
      <c r="I45" s="20"/>
      <c r="J45" s="13">
        <f t="shared" ref="J45:J48" si="6">AVERAGE(E45:I45)</f>
        <v>0.24708698786202796</v>
      </c>
    </row>
    <row r="46" spans="1:10">
      <c r="A46" s="15"/>
      <c r="B46" s="16"/>
      <c r="C46" s="541" t="s">
        <v>66</v>
      </c>
      <c r="D46" s="31">
        <v>2</v>
      </c>
      <c r="E46" s="20">
        <v>0.24029721362229098</v>
      </c>
      <c r="F46" s="20">
        <v>0.23356666666666656</v>
      </c>
      <c r="G46" s="20">
        <v>0.24128519855595659</v>
      </c>
      <c r="H46" s="20"/>
      <c r="I46" s="20"/>
      <c r="J46" s="13">
        <f t="shared" si="6"/>
        <v>0.23838302628163807</v>
      </c>
    </row>
    <row r="47" spans="1:10">
      <c r="A47" s="15"/>
      <c r="B47" s="16"/>
      <c r="C47" s="542"/>
      <c r="D47" s="31">
        <v>3</v>
      </c>
      <c r="E47" s="21">
        <v>0.24402942840973402</v>
      </c>
      <c r="F47" s="21">
        <v>0.24558752997601921</v>
      </c>
      <c r="G47" s="21">
        <v>0.22871762870514828</v>
      </c>
      <c r="H47" s="21"/>
      <c r="I47" s="21"/>
      <c r="J47" s="13">
        <f t="shared" si="6"/>
        <v>0.23944486236363383</v>
      </c>
    </row>
    <row r="48" spans="1:10" ht="13.5" thickBot="1">
      <c r="A48" s="18"/>
      <c r="B48" s="19"/>
      <c r="C48" s="541" t="s">
        <v>726</v>
      </c>
      <c r="D48" s="30"/>
      <c r="E48" s="26">
        <f>AVERAGE(E45:E47)</f>
        <v>0.24623335566779603</v>
      </c>
      <c r="F48" s="26">
        <f>AVERAGE(F46:F47)</f>
        <v>0.23957709832134289</v>
      </c>
      <c r="G48" s="27">
        <f>AVERAGE(G45:G47)</f>
        <v>0.23804335124140316</v>
      </c>
      <c r="H48" s="27"/>
      <c r="I48" s="27"/>
      <c r="J48" s="34">
        <f t="shared" si="6"/>
        <v>0.24128460174351404</v>
      </c>
    </row>
    <row r="49" spans="1:11">
      <c r="A49" s="11"/>
      <c r="B49" s="12"/>
      <c r="C49" s="542"/>
      <c r="D49" s="31">
        <v>1</v>
      </c>
      <c r="E49" s="20">
        <v>0.31479781420765002</v>
      </c>
      <c r="F49" s="20">
        <v>0.30846056782334402</v>
      </c>
      <c r="G49" s="20">
        <v>0.27128421052631546</v>
      </c>
      <c r="H49" s="20"/>
      <c r="I49" s="20"/>
      <c r="J49" s="13">
        <f t="shared" ref="J49:J52" si="7">AVERAGE(E49:I49)</f>
        <v>0.29818086418576983</v>
      </c>
    </row>
    <row r="50" spans="1:11">
      <c r="A50" s="15"/>
      <c r="B50" s="16"/>
      <c r="C50" s="541" t="s">
        <v>67</v>
      </c>
      <c r="D50" s="31">
        <v>2</v>
      </c>
      <c r="E50" s="20">
        <v>0.29484602917341979</v>
      </c>
      <c r="F50" s="20">
        <v>0.29555630252100867</v>
      </c>
      <c r="G50" s="20">
        <v>0.25738940809968824</v>
      </c>
      <c r="H50" s="20"/>
      <c r="I50" s="20"/>
      <c r="J50" s="13">
        <f t="shared" si="7"/>
        <v>0.28259724659803892</v>
      </c>
    </row>
    <row r="51" spans="1:11">
      <c r="A51" s="15"/>
      <c r="B51" s="16"/>
      <c r="C51" s="31"/>
      <c r="D51" s="31">
        <v>3</v>
      </c>
      <c r="E51" s="21">
        <v>0.28687765089722661</v>
      </c>
      <c r="F51" s="21">
        <v>0.27586644407345595</v>
      </c>
      <c r="G51" s="21">
        <v>0.24548863636363649</v>
      </c>
      <c r="H51" s="21"/>
      <c r="I51" s="21"/>
      <c r="J51" s="13">
        <f t="shared" si="7"/>
        <v>0.269410910444773</v>
      </c>
    </row>
    <row r="52" spans="1:11" ht="13.5" thickBot="1">
      <c r="A52" s="18"/>
      <c r="B52" s="19"/>
      <c r="C52" s="541" t="s">
        <v>726</v>
      </c>
      <c r="D52" s="30"/>
      <c r="E52" s="26">
        <f>AVERAGE(E49:E51)</f>
        <v>0.29884049809276547</v>
      </c>
      <c r="F52" s="26">
        <f>AVERAGE(F50:F51)</f>
        <v>0.28571137329723229</v>
      </c>
      <c r="G52" s="27">
        <f>AVERAGE(G49:G51)</f>
        <v>0.25805408499654675</v>
      </c>
      <c r="H52" s="27"/>
      <c r="I52" s="27"/>
      <c r="J52" s="34">
        <f t="shared" si="7"/>
        <v>0.28086865212884815</v>
      </c>
    </row>
    <row r="56" spans="1:11" ht="13.5" thickBot="1"/>
    <row r="57" spans="1:11" ht="48" thickBot="1">
      <c r="A57" s="629" t="s">
        <v>32</v>
      </c>
      <c r="B57" s="629" t="s">
        <v>33</v>
      </c>
      <c r="C57" s="5" t="s">
        <v>728</v>
      </c>
      <c r="D57" s="5" t="s">
        <v>58</v>
      </c>
      <c r="E57" s="631" t="s">
        <v>56</v>
      </c>
      <c r="F57" s="632"/>
      <c r="G57" s="632"/>
      <c r="H57" s="632"/>
      <c r="I57" s="632"/>
      <c r="J57" s="6" t="s">
        <v>57</v>
      </c>
      <c r="K57" s="29"/>
    </row>
    <row r="58" spans="1:11" ht="16.5" thickBot="1">
      <c r="A58" s="630"/>
      <c r="B58" s="630"/>
      <c r="C58" s="7"/>
      <c r="D58" s="22"/>
      <c r="E58" s="8" t="s">
        <v>342</v>
      </c>
      <c r="F58" s="8" t="s">
        <v>343</v>
      </c>
      <c r="G58" s="8" t="s">
        <v>344</v>
      </c>
      <c r="H58" s="9"/>
      <c r="I58" s="9"/>
      <c r="J58" s="10" t="s">
        <v>73</v>
      </c>
    </row>
    <row r="59" spans="1:11">
      <c r="A59" s="11"/>
      <c r="B59" s="12"/>
      <c r="C59" s="31"/>
      <c r="D59" s="31">
        <v>1</v>
      </c>
      <c r="E59" s="13">
        <v>0.33315981735159805</v>
      </c>
      <c r="F59" s="13">
        <v>0.32547542735042734</v>
      </c>
      <c r="G59" s="13">
        <v>0.28755408388520964</v>
      </c>
      <c r="H59" s="23"/>
      <c r="I59" s="23"/>
      <c r="J59" s="13">
        <f t="shared" ref="J59:J98" si="8">AVERAGE(E59:I59)</f>
        <v>0.3153964428624117</v>
      </c>
    </row>
    <row r="60" spans="1:11">
      <c r="A60" s="15"/>
      <c r="B60" s="16"/>
      <c r="C60" s="541" t="s">
        <v>727</v>
      </c>
      <c r="D60" s="31">
        <v>2</v>
      </c>
      <c r="E60" s="13">
        <v>0.33980670611439828</v>
      </c>
      <c r="F60" s="13">
        <v>0.3191150522964985</v>
      </c>
      <c r="G60" s="13">
        <v>0.32721456582633068</v>
      </c>
      <c r="H60" s="23"/>
      <c r="I60" s="23"/>
      <c r="J60" s="13">
        <f t="shared" si="8"/>
        <v>0.32871210807907586</v>
      </c>
    </row>
    <row r="61" spans="1:11">
      <c r="A61" s="15"/>
      <c r="B61" s="16"/>
      <c r="C61" s="542"/>
      <c r="D61" s="31">
        <v>3</v>
      </c>
      <c r="E61" s="17">
        <v>0.31386890243902449</v>
      </c>
      <c r="F61" s="17">
        <v>0.30323711340206194</v>
      </c>
      <c r="G61" s="17">
        <v>0.28156501987507127</v>
      </c>
      <c r="H61" s="23"/>
      <c r="I61" s="23"/>
      <c r="J61" s="13">
        <f t="shared" si="8"/>
        <v>0.29955701190538586</v>
      </c>
    </row>
    <row r="62" spans="1:11" ht="13.5" thickBot="1">
      <c r="A62" s="18"/>
      <c r="B62" s="19"/>
      <c r="C62" s="541" t="s">
        <v>726</v>
      </c>
      <c r="D62" s="31"/>
      <c r="E62" s="26">
        <f>AVERAGE(E59:E61)</f>
        <v>0.32894514196834024</v>
      </c>
      <c r="F62" s="26">
        <f>AVERAGE(F59:F61)</f>
        <v>0.31594253101632924</v>
      </c>
      <c r="G62" s="26">
        <f>AVERAGE(G59:G61)</f>
        <v>0.29877788986220383</v>
      </c>
      <c r="H62" s="26"/>
      <c r="I62" s="26"/>
      <c r="J62" s="34">
        <f>AVERAGE(F62:I62)</f>
        <v>0.30736021043926653</v>
      </c>
      <c r="K62" s="14">
        <f>AVERAGE(J16,J62)</f>
        <v>0.30510295997680037</v>
      </c>
    </row>
    <row r="63" spans="1:11">
      <c r="A63" s="11"/>
      <c r="B63" s="12"/>
      <c r="C63" s="542"/>
      <c r="D63" s="31">
        <v>1</v>
      </c>
      <c r="E63" s="13">
        <v>0.28041601664066573</v>
      </c>
      <c r="F63" s="13">
        <v>0.28138769670958536</v>
      </c>
      <c r="G63" s="13">
        <v>0.26183908045977022</v>
      </c>
      <c r="H63" s="13"/>
      <c r="I63" s="13"/>
      <c r="J63" s="13">
        <f t="shared" si="8"/>
        <v>0.27454759793667377</v>
      </c>
    </row>
    <row r="64" spans="1:11">
      <c r="A64" s="15"/>
      <c r="B64" s="16"/>
      <c r="C64" s="541" t="s">
        <v>262</v>
      </c>
      <c r="D64" s="31">
        <v>2</v>
      </c>
      <c r="E64" s="13">
        <v>0.29172490293954534</v>
      </c>
      <c r="F64" s="13">
        <v>0.27829629629629599</v>
      </c>
      <c r="G64" s="13">
        <v>0.2860317460317463</v>
      </c>
      <c r="H64" s="13"/>
      <c r="I64" s="13"/>
      <c r="J64" s="13">
        <f t="shared" si="8"/>
        <v>0.28535098175586254</v>
      </c>
    </row>
    <row r="65" spans="1:11">
      <c r="A65" s="15"/>
      <c r="B65" s="16"/>
      <c r="C65" s="542"/>
      <c r="D65" s="31">
        <v>3</v>
      </c>
      <c r="E65" s="17">
        <v>0.26525252525252513</v>
      </c>
      <c r="F65" s="17">
        <v>0.27564017660044143</v>
      </c>
      <c r="G65" s="17">
        <v>0.28679389312977066</v>
      </c>
      <c r="H65" s="17"/>
      <c r="I65" s="17"/>
      <c r="J65" s="13">
        <f t="shared" si="8"/>
        <v>0.27589553166091241</v>
      </c>
    </row>
    <row r="66" spans="1:11" ht="13.5" thickBot="1">
      <c r="A66" s="18"/>
      <c r="B66" s="19"/>
      <c r="C66" s="541" t="s">
        <v>726</v>
      </c>
      <c r="D66" s="31"/>
      <c r="E66" s="26">
        <f>AVERAGE(E63:E65)</f>
        <v>0.27913114827757873</v>
      </c>
      <c r="F66" s="27">
        <f>AVERAGE(F63:F65)</f>
        <v>0.27844138986877426</v>
      </c>
      <c r="G66" s="27">
        <f>AVERAGE(G63:G65)</f>
        <v>0.27822157320709573</v>
      </c>
      <c r="H66" s="27"/>
      <c r="I66" s="27"/>
      <c r="J66" s="34">
        <f t="shared" si="8"/>
        <v>0.27859803711781622</v>
      </c>
      <c r="K66" s="14">
        <f>AVERAGE(J20,J66)</f>
        <v>0.27324043872843029</v>
      </c>
    </row>
    <row r="67" spans="1:11">
      <c r="A67" s="11"/>
      <c r="B67" s="12"/>
      <c r="C67" s="542"/>
      <c r="D67" s="31">
        <v>1</v>
      </c>
      <c r="E67" s="20">
        <v>0.31080392156862774</v>
      </c>
      <c r="F67" s="20">
        <v>0.30655782312925206</v>
      </c>
      <c r="G67" s="20">
        <v>0.28505599999999992</v>
      </c>
      <c r="H67" s="20"/>
      <c r="I67" s="20"/>
      <c r="J67" s="13">
        <f t="shared" si="8"/>
        <v>0.30080591489929326</v>
      </c>
    </row>
    <row r="68" spans="1:11">
      <c r="A68" s="15"/>
      <c r="B68" s="16"/>
      <c r="C68" s="541" t="s">
        <v>60</v>
      </c>
      <c r="D68" s="31">
        <v>2</v>
      </c>
      <c r="E68" s="20">
        <v>0.31068243243243254</v>
      </c>
      <c r="F68" s="20">
        <v>0.31581941309255102</v>
      </c>
      <c r="G68" s="20">
        <v>0.29032432432432392</v>
      </c>
      <c r="H68" s="20"/>
      <c r="I68" s="20"/>
      <c r="J68" s="13">
        <f t="shared" si="8"/>
        <v>0.30560872328310246</v>
      </c>
    </row>
    <row r="69" spans="1:11">
      <c r="A69" s="15"/>
      <c r="B69" s="16"/>
      <c r="C69" s="542"/>
      <c r="D69" s="31">
        <v>3</v>
      </c>
      <c r="E69" s="21">
        <v>0.31373248407643339</v>
      </c>
      <c r="F69" s="21">
        <v>0.31912781954887209</v>
      </c>
      <c r="G69" s="21">
        <v>0.28873469387755107</v>
      </c>
      <c r="H69" s="21"/>
      <c r="I69" s="21"/>
      <c r="J69" s="13">
        <f t="shared" si="8"/>
        <v>0.30719833250095219</v>
      </c>
    </row>
    <row r="70" spans="1:11" ht="13.5" thickBot="1">
      <c r="A70" s="18"/>
      <c r="B70" s="19"/>
      <c r="C70" s="541" t="s">
        <v>726</v>
      </c>
      <c r="D70" s="30"/>
      <c r="E70" s="26">
        <f>AVERAGE(E67:E69)</f>
        <v>0.31173961269249789</v>
      </c>
      <c r="F70" s="26">
        <f>AVERAGE(F68:F69)</f>
        <v>0.31747361632071158</v>
      </c>
      <c r="G70" s="27">
        <f>AVERAGE(G67:G69)</f>
        <v>0.28803833940062495</v>
      </c>
      <c r="H70" s="27"/>
      <c r="I70" s="27"/>
      <c r="J70" s="34">
        <f t="shared" si="8"/>
        <v>0.30575052280461151</v>
      </c>
      <c r="K70" s="14">
        <f>AVERAGE(J24,J70)</f>
        <v>0.29094956199810162</v>
      </c>
    </row>
    <row r="71" spans="1:11">
      <c r="A71" s="11"/>
      <c r="B71" s="12"/>
      <c r="C71" s="542"/>
      <c r="D71" s="31">
        <v>1</v>
      </c>
      <c r="E71" s="20">
        <v>0.40342049469964686</v>
      </c>
      <c r="F71" s="20">
        <v>0.433021978021978</v>
      </c>
      <c r="G71" s="20">
        <v>0.34079999999999977</v>
      </c>
      <c r="H71" s="20"/>
      <c r="I71" s="20"/>
      <c r="J71" s="13">
        <f t="shared" si="8"/>
        <v>0.39241415757387488</v>
      </c>
    </row>
    <row r="72" spans="1:11">
      <c r="A72" s="15"/>
      <c r="B72" s="16"/>
      <c r="C72" s="541" t="s">
        <v>61</v>
      </c>
      <c r="D72" s="31">
        <v>2</v>
      </c>
      <c r="E72" s="20">
        <v>0.46165106382978743</v>
      </c>
      <c r="F72" s="20">
        <v>0.42238370118845481</v>
      </c>
      <c r="G72" s="20">
        <v>0.40861224489795944</v>
      </c>
      <c r="H72" s="20"/>
      <c r="I72" s="20"/>
      <c r="J72" s="13">
        <f t="shared" si="8"/>
        <v>0.43088233663873393</v>
      </c>
    </row>
    <row r="73" spans="1:11">
      <c r="A73" s="15"/>
      <c r="B73" s="16"/>
      <c r="C73" s="542"/>
      <c r="D73" s="31">
        <v>3</v>
      </c>
      <c r="E73" s="21">
        <v>0.44292715231788077</v>
      </c>
      <c r="F73" s="21">
        <v>0.37396946564885497</v>
      </c>
      <c r="G73" s="21">
        <v>0.40851231527093579</v>
      </c>
      <c r="H73" s="21"/>
      <c r="I73" s="21"/>
      <c r="J73" s="13">
        <f t="shared" si="8"/>
        <v>0.40846964441255712</v>
      </c>
    </row>
    <row r="74" spans="1:11" ht="13.5" thickBot="1">
      <c r="A74" s="18"/>
      <c r="B74" s="19"/>
      <c r="C74" s="541" t="s">
        <v>726</v>
      </c>
      <c r="D74" s="30"/>
      <c r="E74" s="26">
        <f>AVERAGE(E71:E73)</f>
        <v>0.43599957028243835</v>
      </c>
      <c r="F74" s="26">
        <f>AVERAGE(F72:F73)</f>
        <v>0.39817658341865492</v>
      </c>
      <c r="G74" s="27">
        <f>AVERAGE(G71:G73)</f>
        <v>0.38597485338963167</v>
      </c>
      <c r="H74" s="27"/>
      <c r="I74" s="27"/>
      <c r="J74" s="34">
        <f t="shared" si="8"/>
        <v>0.40671700236357494</v>
      </c>
      <c r="K74" s="14">
        <f>AVERAGE(J28,J74)</f>
        <v>0.31012970960665009</v>
      </c>
    </row>
    <row r="75" spans="1:11">
      <c r="A75" s="11"/>
      <c r="B75" s="12"/>
      <c r="C75" s="542"/>
      <c r="D75" s="31">
        <v>1</v>
      </c>
      <c r="E75" s="20">
        <v>0.39105485232067516</v>
      </c>
      <c r="F75" s="20">
        <v>0.40137007874015718</v>
      </c>
      <c r="G75" s="20">
        <v>0.41053282345442982</v>
      </c>
      <c r="H75" s="20"/>
      <c r="I75" s="20"/>
      <c r="J75" s="13">
        <f t="shared" si="8"/>
        <v>0.40098591817175405</v>
      </c>
    </row>
    <row r="76" spans="1:11">
      <c r="A76" s="15"/>
      <c r="B76" s="16"/>
      <c r="C76" s="541" t="s">
        <v>62</v>
      </c>
      <c r="D76" s="31">
        <v>2</v>
      </c>
      <c r="E76" s="20">
        <v>0.39673049645390085</v>
      </c>
      <c r="F76" s="20">
        <v>0.38236830601092925</v>
      </c>
      <c r="G76" s="20">
        <v>0.38494074074074047</v>
      </c>
      <c r="H76" s="20"/>
      <c r="I76" s="20"/>
      <c r="J76" s="13">
        <f t="shared" si="8"/>
        <v>0.3880131810685235</v>
      </c>
    </row>
    <row r="77" spans="1:11">
      <c r="A77" s="15"/>
      <c r="B77" s="16"/>
      <c r="C77" s="542"/>
      <c r="D77" s="31">
        <v>3</v>
      </c>
      <c r="E77" s="21">
        <v>0.41824820512820532</v>
      </c>
      <c r="F77" s="21">
        <v>0.38133094812164575</v>
      </c>
      <c r="G77" s="21">
        <v>0.41539840637450209</v>
      </c>
      <c r="H77" s="21"/>
      <c r="I77" s="21"/>
      <c r="J77" s="13">
        <f t="shared" si="8"/>
        <v>0.40499251987478441</v>
      </c>
    </row>
    <row r="78" spans="1:11" ht="13.5" thickBot="1">
      <c r="A78" s="18"/>
      <c r="B78" s="19"/>
      <c r="C78" s="541" t="s">
        <v>726</v>
      </c>
      <c r="D78" s="30"/>
      <c r="E78" s="26">
        <f>AVERAGE(E75:E77)</f>
        <v>0.40201118463426044</v>
      </c>
      <c r="F78" s="26">
        <f>AVERAGE(F76:F77)</f>
        <v>0.3818496270662875</v>
      </c>
      <c r="G78" s="27">
        <f>AVERAGE(G75:G77)</f>
        <v>0.40362399018989076</v>
      </c>
      <c r="H78" s="27"/>
      <c r="I78" s="27"/>
      <c r="J78" s="34">
        <f t="shared" si="8"/>
        <v>0.39582826729681292</v>
      </c>
      <c r="K78" s="14">
        <f>AVERAGE(J32,J78)</f>
        <v>0.26197791782296442</v>
      </c>
    </row>
    <row r="79" spans="1:11">
      <c r="A79" s="11"/>
      <c r="B79" s="12"/>
      <c r="C79" s="542"/>
      <c r="D79" s="31">
        <v>1</v>
      </c>
      <c r="E79" s="20">
        <v>0.36616007036059778</v>
      </c>
      <c r="F79" s="20">
        <v>0.36506666666666648</v>
      </c>
      <c r="G79" s="20">
        <v>0.36704369538077403</v>
      </c>
      <c r="H79" s="20"/>
      <c r="I79" s="20"/>
      <c r="J79" s="13">
        <f t="shared" si="8"/>
        <v>0.36609014413601276</v>
      </c>
    </row>
    <row r="80" spans="1:11">
      <c r="A80" s="15"/>
      <c r="B80" s="16"/>
      <c r="C80" s="541" t="s">
        <v>63</v>
      </c>
      <c r="D80" s="31">
        <v>2</v>
      </c>
      <c r="E80" s="20">
        <v>0.35086692015209098</v>
      </c>
      <c r="F80" s="20">
        <v>0.36920430107526853</v>
      </c>
      <c r="G80" s="20">
        <v>0.33203185437997706</v>
      </c>
      <c r="H80" s="20"/>
      <c r="I80" s="20"/>
      <c r="J80" s="13">
        <f t="shared" si="8"/>
        <v>0.35070102520244556</v>
      </c>
    </row>
    <row r="81" spans="1:11">
      <c r="A81" s="15"/>
      <c r="B81" s="16"/>
      <c r="C81" s="542"/>
      <c r="D81" s="31">
        <v>3</v>
      </c>
      <c r="E81" s="21">
        <v>0.36548123249299724</v>
      </c>
      <c r="F81" s="21">
        <v>0.31896830601092913</v>
      </c>
      <c r="G81" s="21">
        <v>0.37452006980802788</v>
      </c>
      <c r="H81" s="21"/>
      <c r="I81" s="21"/>
      <c r="J81" s="13">
        <f t="shared" si="8"/>
        <v>0.35298986943731814</v>
      </c>
    </row>
    <row r="82" spans="1:11" ht="13.5" thickBot="1">
      <c r="A82" s="18"/>
      <c r="B82" s="19"/>
      <c r="C82" s="541" t="s">
        <v>726</v>
      </c>
      <c r="D82" s="30"/>
      <c r="E82" s="26">
        <f>AVERAGE(E79:E81)</f>
        <v>0.36083607433522863</v>
      </c>
      <c r="F82" s="26">
        <f>AVERAGE(F80:F81)</f>
        <v>0.34408630354309883</v>
      </c>
      <c r="G82" s="27">
        <f>AVERAGE(G79:G81)</f>
        <v>0.35786520652292636</v>
      </c>
      <c r="H82" s="27"/>
      <c r="I82" s="27"/>
      <c r="J82" s="34">
        <f t="shared" si="8"/>
        <v>0.35426252813375125</v>
      </c>
      <c r="K82" s="14">
        <f>AVERAGE(J36,J82)</f>
        <v>0.25129948219922393</v>
      </c>
    </row>
    <row r="83" spans="1:11">
      <c r="A83" s="11"/>
      <c r="B83" s="12"/>
      <c r="C83" s="542"/>
      <c r="D83" s="31">
        <v>1</v>
      </c>
      <c r="E83" s="20">
        <v>0.37816666666666643</v>
      </c>
      <c r="F83" s="20">
        <v>0.35834045307443374</v>
      </c>
      <c r="G83" s="20">
        <v>0.36894308943089432</v>
      </c>
      <c r="H83" s="20"/>
      <c r="I83" s="20"/>
      <c r="J83" s="13">
        <f t="shared" si="8"/>
        <v>0.36848340305733146</v>
      </c>
    </row>
    <row r="84" spans="1:11">
      <c r="A84" s="15"/>
      <c r="B84" s="16"/>
      <c r="C84" s="541" t="s">
        <v>64</v>
      </c>
      <c r="D84" s="31">
        <v>2</v>
      </c>
      <c r="E84" s="20">
        <v>0.3737176470588236</v>
      </c>
      <c r="F84" s="20">
        <v>0.24993773946360157</v>
      </c>
      <c r="G84" s="20">
        <v>0.35532438478747208</v>
      </c>
      <c r="H84" s="20"/>
      <c r="I84" s="20"/>
      <c r="J84" s="13">
        <f t="shared" si="8"/>
        <v>0.32632659043663242</v>
      </c>
    </row>
    <row r="85" spans="1:11">
      <c r="A85" s="15"/>
      <c r="B85" s="16"/>
      <c r="C85" s="542"/>
      <c r="D85" s="31">
        <v>3</v>
      </c>
      <c r="E85" s="21">
        <v>0.3870126705653022</v>
      </c>
      <c r="F85" s="21">
        <v>0.3568456973293771</v>
      </c>
      <c r="G85" s="21">
        <v>0.36861010830324914</v>
      </c>
      <c r="H85" s="21"/>
      <c r="I85" s="21"/>
      <c r="J85" s="13">
        <f t="shared" si="8"/>
        <v>0.3708228253993095</v>
      </c>
    </row>
    <row r="86" spans="1:11" ht="13.5" thickBot="1">
      <c r="A86" s="18"/>
      <c r="B86" s="19"/>
      <c r="C86" s="541" t="s">
        <v>726</v>
      </c>
      <c r="D86" s="30"/>
      <c r="E86" s="26">
        <f>AVERAGE(E83:E85)</f>
        <v>0.37963232809693076</v>
      </c>
      <c r="F86" s="26">
        <f>AVERAGE(F84:F85)</f>
        <v>0.30339171839648932</v>
      </c>
      <c r="G86" s="27">
        <f>AVERAGE(G83:G85)</f>
        <v>0.36429252750720514</v>
      </c>
      <c r="H86" s="27"/>
      <c r="I86" s="27"/>
      <c r="J86" s="34">
        <f t="shared" si="8"/>
        <v>0.34910552466687506</v>
      </c>
      <c r="K86" s="14">
        <f>AVERAGE(J40,J86)</f>
        <v>0.26305683378148553</v>
      </c>
    </row>
    <row r="87" spans="1:11">
      <c r="A87" s="11"/>
      <c r="B87" s="12"/>
      <c r="C87" s="542"/>
      <c r="D87" s="31">
        <v>1</v>
      </c>
      <c r="E87" s="20">
        <v>0.36077727952167443</v>
      </c>
      <c r="F87" s="20">
        <v>0.35972179289026285</v>
      </c>
      <c r="G87" s="20">
        <v>0.37712499999999965</v>
      </c>
      <c r="H87" s="20"/>
      <c r="I87" s="20"/>
      <c r="J87" s="13">
        <f t="shared" si="8"/>
        <v>0.365874690803979</v>
      </c>
    </row>
    <row r="88" spans="1:11">
      <c r="A88" s="15"/>
      <c r="B88" s="16"/>
      <c r="C88" s="541" t="s">
        <v>65</v>
      </c>
      <c r="D88" s="31">
        <v>2</v>
      </c>
      <c r="E88" s="20">
        <v>0.38463947990543718</v>
      </c>
      <c r="F88" s="20">
        <v>0.3896770988574268</v>
      </c>
      <c r="G88" s="20">
        <v>0.37650574712643681</v>
      </c>
      <c r="H88" s="20"/>
      <c r="I88" s="20"/>
      <c r="J88" s="13">
        <f t="shared" si="8"/>
        <v>0.3836074419631002</v>
      </c>
    </row>
    <row r="89" spans="1:11">
      <c r="A89" s="15"/>
      <c r="B89" s="16"/>
      <c r="C89" s="542"/>
      <c r="D89" s="31">
        <v>3</v>
      </c>
      <c r="E89" s="21">
        <v>0.39778105056455565</v>
      </c>
      <c r="F89" s="21">
        <v>0.35863298662704302</v>
      </c>
      <c r="G89" s="21">
        <v>0.37662615740740712</v>
      </c>
      <c r="H89" s="21"/>
      <c r="I89" s="21"/>
      <c r="J89" s="13">
        <f t="shared" si="8"/>
        <v>0.37768006486633521</v>
      </c>
    </row>
    <row r="90" spans="1:11" ht="13.5" thickBot="1">
      <c r="A90" s="18"/>
      <c r="B90" s="19"/>
      <c r="C90" s="541" t="s">
        <v>726</v>
      </c>
      <c r="D90" s="30"/>
      <c r="E90" s="26">
        <f>AVERAGE(E87:E89)</f>
        <v>0.3810659366638891</v>
      </c>
      <c r="F90" s="26">
        <f>AVERAGE(F88:F89)</f>
        <v>0.37415504274223488</v>
      </c>
      <c r="G90" s="27">
        <f>AVERAGE(G87:G89)</f>
        <v>0.3767523015112812</v>
      </c>
      <c r="H90" s="27"/>
      <c r="I90" s="27"/>
      <c r="J90" s="34">
        <f t="shared" si="8"/>
        <v>0.37732442697246843</v>
      </c>
      <c r="K90" s="14">
        <f>AVERAGE(J44,J90)</f>
        <v>0.29488755471509254</v>
      </c>
    </row>
    <row r="91" spans="1:11">
      <c r="A91" s="11"/>
      <c r="B91" s="12"/>
      <c r="C91" s="542"/>
      <c r="D91" s="31">
        <v>1</v>
      </c>
      <c r="E91" s="20">
        <v>0.40008247422680421</v>
      </c>
      <c r="F91" s="20">
        <v>0.38800679117147724</v>
      </c>
      <c r="G91" s="20">
        <v>0.3808120624663433</v>
      </c>
      <c r="H91" s="20"/>
      <c r="I91" s="20"/>
      <c r="J91" s="13">
        <f t="shared" si="8"/>
        <v>0.38963377595487492</v>
      </c>
    </row>
    <row r="92" spans="1:11">
      <c r="A92" s="15"/>
      <c r="B92" s="16"/>
      <c r="C92" s="541" t="s">
        <v>66</v>
      </c>
      <c r="D92" s="31">
        <v>2</v>
      </c>
      <c r="E92" s="20">
        <v>0.37879181708784615</v>
      </c>
      <c r="F92" s="20">
        <v>0.39711890034364289</v>
      </c>
      <c r="G92" s="20">
        <v>0.38724848484848479</v>
      </c>
      <c r="H92" s="20"/>
      <c r="I92" s="20"/>
      <c r="J92" s="13">
        <f t="shared" si="8"/>
        <v>0.38771973409332455</v>
      </c>
    </row>
    <row r="93" spans="1:11">
      <c r="A93" s="15"/>
      <c r="B93" s="16"/>
      <c r="C93" s="542"/>
      <c r="D93" s="31">
        <v>3</v>
      </c>
      <c r="E93" s="21">
        <v>0.38583284169124887</v>
      </c>
      <c r="F93" s="21">
        <v>0.35038196915776959</v>
      </c>
      <c r="G93" s="21">
        <v>0.38284112149532701</v>
      </c>
      <c r="H93" s="21"/>
      <c r="I93" s="21"/>
      <c r="J93" s="13">
        <f t="shared" si="8"/>
        <v>0.37301864411478186</v>
      </c>
    </row>
    <row r="94" spans="1:11" ht="13.5" thickBot="1">
      <c r="A94" s="18"/>
      <c r="B94" s="19"/>
      <c r="C94" s="541" t="s">
        <v>726</v>
      </c>
      <c r="D94" s="30"/>
      <c r="E94" s="26">
        <f>AVERAGE(E91:E93)</f>
        <v>0.38823571100196635</v>
      </c>
      <c r="F94" s="26">
        <f>AVERAGE(F92:F93)</f>
        <v>0.37375043475070624</v>
      </c>
      <c r="G94" s="27">
        <f>AVERAGE(G91:G93)</f>
        <v>0.38363388960338501</v>
      </c>
      <c r="H94" s="27"/>
      <c r="I94" s="27"/>
      <c r="J94" s="34">
        <f t="shared" si="8"/>
        <v>0.38187334511868593</v>
      </c>
      <c r="K94" s="14">
        <f>AVERAGE(J48,J94)</f>
        <v>0.31157897343109997</v>
      </c>
    </row>
    <row r="95" spans="1:11">
      <c r="A95" s="11"/>
      <c r="B95" s="12"/>
      <c r="C95" s="542"/>
      <c r="D95" s="31">
        <v>1</v>
      </c>
      <c r="E95" s="20">
        <v>0.40512212817412335</v>
      </c>
      <c r="F95" s="20">
        <v>0.27965048543689319</v>
      </c>
      <c r="G95" s="20">
        <v>0.40673170731707337</v>
      </c>
      <c r="H95" s="20"/>
      <c r="I95" s="20"/>
      <c r="J95" s="13">
        <f>AVERAGE(F95:I95)</f>
        <v>0.34319109637698331</v>
      </c>
    </row>
    <row r="96" spans="1:11">
      <c r="A96" s="15"/>
      <c r="B96" s="16"/>
      <c r="C96" s="541" t="s">
        <v>67</v>
      </c>
      <c r="D96" s="31">
        <v>2</v>
      </c>
      <c r="E96" s="20">
        <v>0.40579797979797999</v>
      </c>
      <c r="F96" s="20">
        <v>0.41001386962552017</v>
      </c>
      <c r="G96" s="20">
        <v>0.41178148710166934</v>
      </c>
      <c r="H96" s="20"/>
      <c r="I96" s="20"/>
      <c r="J96" s="13">
        <f>AVERAGE(F96:I96)</f>
        <v>0.41089767836359475</v>
      </c>
    </row>
    <row r="97" spans="1:12">
      <c r="A97" s="15"/>
      <c r="B97" s="16"/>
      <c r="C97" s="31"/>
      <c r="D97" s="31">
        <v>3</v>
      </c>
      <c r="E97" s="21">
        <v>0.4119103641456584</v>
      </c>
      <c r="F97" s="21">
        <v>0.4037319223985889</v>
      </c>
      <c r="G97" s="21">
        <v>0.39243143297380617</v>
      </c>
      <c r="H97" s="21"/>
      <c r="I97" s="21"/>
      <c r="J97" s="13">
        <f t="shared" ref="J97" si="9">AVERAGE(F97:I97)</f>
        <v>0.39808167768619751</v>
      </c>
    </row>
    <row r="98" spans="1:12" ht="13.5" thickBot="1">
      <c r="A98" s="18"/>
      <c r="B98" s="19"/>
      <c r="C98" s="541" t="s">
        <v>726</v>
      </c>
      <c r="D98" s="30"/>
      <c r="E98" s="26">
        <f>AVERAGE(E95:E97)</f>
        <v>0.40761015737258727</v>
      </c>
      <c r="F98" s="26">
        <f>AVERAGE(F96:F97)</f>
        <v>0.40687289601205456</v>
      </c>
      <c r="G98" s="27">
        <f>AVERAGE(G95:G97)</f>
        <v>0.40364820913084959</v>
      </c>
      <c r="H98" s="27"/>
      <c r="I98" s="27"/>
      <c r="J98" s="34">
        <f t="shared" si="8"/>
        <v>0.40604375417183047</v>
      </c>
      <c r="K98" s="14">
        <f>AVERAGE(J52,J98)</f>
        <v>0.34345620315033931</v>
      </c>
    </row>
    <row r="99" spans="1:12" ht="15">
      <c r="I99" s="194"/>
      <c r="J99" s="207"/>
      <c r="L99" s="4" t="s">
        <v>345</v>
      </c>
    </row>
    <row r="100" spans="1:12" ht="15">
      <c r="I100" s="199"/>
      <c r="J100" s="207"/>
    </row>
    <row r="101" spans="1:12" ht="15">
      <c r="I101" s="199"/>
      <c r="J101" s="207"/>
    </row>
    <row r="102" spans="1:12" ht="15">
      <c r="I102" s="199"/>
      <c r="J102" s="207"/>
    </row>
    <row r="103" spans="1:12" ht="15">
      <c r="I103" s="199"/>
      <c r="J103" s="207"/>
    </row>
    <row r="104" spans="1:12" ht="15">
      <c r="I104" s="197"/>
      <c r="J104" s="207"/>
    </row>
    <row r="105" spans="1:12" ht="15">
      <c r="I105" s="197"/>
      <c r="J105" s="207"/>
    </row>
    <row r="106" spans="1:12" ht="15">
      <c r="I106" s="197"/>
      <c r="J106" s="207"/>
    </row>
    <row r="107" spans="1:12" ht="15">
      <c r="I107" s="197"/>
      <c r="J107" s="207"/>
    </row>
    <row r="108" spans="1:12" ht="15">
      <c r="I108" s="197"/>
      <c r="J108" s="207"/>
    </row>
  </sheetData>
  <mergeCells count="6">
    <mergeCell ref="A57:A58"/>
    <mergeCell ref="B57:B58"/>
    <mergeCell ref="E57:I57"/>
    <mergeCell ref="A11:A12"/>
    <mergeCell ref="B11:B12"/>
    <mergeCell ref="E11:I11"/>
  </mergeCells>
  <phoneticPr fontId="1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8"/>
  <sheetViews>
    <sheetView topLeftCell="B45" workbookViewId="0">
      <selection activeCell="N79" sqref="N79"/>
    </sheetView>
  </sheetViews>
  <sheetFormatPr defaultRowHeight="12.75"/>
  <cols>
    <col min="1" max="4" width="9.140625" style="4"/>
    <col min="5" max="5" width="17.28515625" style="4" customWidth="1"/>
    <col min="6" max="6" width="10.7109375" style="4" customWidth="1"/>
    <col min="7" max="7" width="11.42578125" style="4" customWidth="1"/>
    <col min="8" max="8" width="11.28515625" style="4" customWidth="1"/>
    <col min="9" max="9" width="12" style="4" customWidth="1"/>
    <col min="10" max="10" width="12.28515625" style="4" customWidth="1"/>
    <col min="11" max="11" width="10.42578125" style="4" customWidth="1"/>
    <col min="12" max="12" width="13.7109375" style="4" customWidth="1"/>
    <col min="13" max="13" width="9.140625" style="4"/>
    <col min="14" max="14" width="8.7109375" style="4" customWidth="1"/>
    <col min="15" max="15" width="9.85546875" style="4" customWidth="1"/>
    <col min="16" max="16" width="9.7109375" style="4" customWidth="1"/>
    <col min="17" max="17" width="13.28515625" style="4" customWidth="1"/>
    <col min="18" max="18" width="12.5703125" style="4" customWidth="1"/>
    <col min="19" max="19" width="13.85546875" style="4" customWidth="1"/>
    <col min="20" max="16384" width="9.140625" style="4"/>
  </cols>
  <sheetData>
    <row r="1" spans="1:18" s="168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8" s="35" customFormat="1">
      <c r="A2" s="447" t="s">
        <v>142</v>
      </c>
      <c r="D2" s="36"/>
      <c r="E2" s="37"/>
      <c r="F2" s="36"/>
      <c r="G2" s="36"/>
      <c r="H2" s="36"/>
      <c r="I2" s="36"/>
      <c r="J2" s="36"/>
      <c r="K2" s="36"/>
      <c r="L2" s="36"/>
      <c r="M2" s="36"/>
      <c r="N2" s="37"/>
      <c r="O2" s="37"/>
      <c r="P2" s="37"/>
      <c r="Q2" s="37"/>
    </row>
    <row r="3" spans="1:18" s="35" customFormat="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s="35" customFormat="1">
      <c r="E4" s="38"/>
      <c r="N4" s="38"/>
      <c r="O4" s="38"/>
      <c r="P4" s="38"/>
      <c r="Q4" s="38"/>
    </row>
    <row r="5" spans="1:18" s="35" customFormat="1">
      <c r="A5" s="36" t="s">
        <v>144</v>
      </c>
      <c r="B5" s="39"/>
      <c r="C5" s="39"/>
      <c r="D5" s="36" t="s">
        <v>145</v>
      </c>
      <c r="E5" s="37"/>
      <c r="G5" s="36" t="s">
        <v>147</v>
      </c>
      <c r="I5" s="39"/>
      <c r="M5" s="36"/>
      <c r="N5" s="38"/>
      <c r="O5" s="38"/>
      <c r="P5" s="38"/>
      <c r="Q5" s="38"/>
    </row>
    <row r="6" spans="1:18" s="43" customFormat="1">
      <c r="A6" s="46"/>
      <c r="B6" s="47"/>
      <c r="C6" s="47"/>
      <c r="D6" s="36" t="s">
        <v>146</v>
      </c>
      <c r="E6" s="48"/>
      <c r="F6" s="46"/>
      <c r="G6" s="46"/>
      <c r="H6" s="46"/>
      <c r="J6" s="46"/>
      <c r="L6" s="46"/>
      <c r="M6" s="47"/>
      <c r="N6" s="47"/>
    </row>
    <row r="7" spans="1:18" s="168" customFormat="1" ht="15">
      <c r="A7" s="35"/>
      <c r="B7" s="35"/>
      <c r="C7" s="35"/>
      <c r="E7" s="35"/>
      <c r="F7" s="35"/>
      <c r="G7" s="35"/>
      <c r="H7" s="35"/>
      <c r="I7" s="35"/>
      <c r="J7" s="35"/>
      <c r="K7" s="35"/>
      <c r="L7" s="35"/>
    </row>
    <row r="8" spans="1:18">
      <c r="D8" s="36" t="s">
        <v>346</v>
      </c>
      <c r="M8" s="29"/>
    </row>
    <row r="9" spans="1:18">
      <c r="A9" s="4" t="s">
        <v>560</v>
      </c>
      <c r="J9" s="4" t="s">
        <v>624</v>
      </c>
    </row>
    <row r="10" spans="1:18" ht="13.5" thickBot="1">
      <c r="F10" s="25"/>
      <c r="G10" s="28"/>
      <c r="H10" s="29"/>
      <c r="I10" s="29"/>
      <c r="J10" s="29"/>
      <c r="K10" s="29"/>
      <c r="L10" s="29"/>
      <c r="M10" s="29"/>
    </row>
    <row r="11" spans="1:18" ht="48" customHeight="1" thickBot="1">
      <c r="A11" s="627" t="s">
        <v>89</v>
      </c>
      <c r="B11" s="628" t="s">
        <v>68</v>
      </c>
      <c r="C11" s="5" t="s">
        <v>725</v>
      </c>
      <c r="D11" s="5" t="s">
        <v>723</v>
      </c>
      <c r="E11" s="631" t="s">
        <v>228</v>
      </c>
      <c r="F11" s="632"/>
      <c r="G11" s="632"/>
      <c r="H11" s="632"/>
      <c r="I11" s="632"/>
      <c r="J11" s="6" t="s">
        <v>724</v>
      </c>
      <c r="K11" s="29"/>
    </row>
    <row r="12" spans="1:18" ht="16.5" thickBot="1">
      <c r="A12" s="627"/>
      <c r="B12" s="628"/>
      <c r="C12" s="7"/>
      <c r="D12" s="22"/>
      <c r="E12" s="8" t="s">
        <v>719</v>
      </c>
      <c r="F12" s="8" t="s">
        <v>720</v>
      </c>
      <c r="G12" s="8" t="s">
        <v>721</v>
      </c>
      <c r="H12" s="9" t="s">
        <v>722</v>
      </c>
      <c r="I12" s="9"/>
      <c r="J12" s="10"/>
    </row>
    <row r="13" spans="1:18">
      <c r="A13" s="12"/>
      <c r="B13" s="12"/>
      <c r="C13" s="30"/>
      <c r="D13" s="31">
        <v>1</v>
      </c>
      <c r="E13" s="13">
        <v>0.3138191632928477</v>
      </c>
      <c r="F13" s="13">
        <v>0.29521367521367525</v>
      </c>
      <c r="G13" s="13">
        <v>0.34584745762711844</v>
      </c>
      <c r="H13" s="23">
        <v>0.28875000000000006</v>
      </c>
      <c r="I13" s="23"/>
      <c r="J13" s="13">
        <f t="shared" ref="J13:J42" si="0">AVERAGE(E13:I13)</f>
        <v>0.31090757403341035</v>
      </c>
    </row>
    <row r="14" spans="1:18">
      <c r="A14" s="16"/>
      <c r="B14" s="16"/>
      <c r="C14" s="31" t="s">
        <v>74</v>
      </c>
      <c r="D14" s="31">
        <v>2</v>
      </c>
      <c r="E14" s="13">
        <v>0.3696000000000001</v>
      </c>
      <c r="F14" s="13">
        <v>0.31237726098191226</v>
      </c>
      <c r="G14" s="13">
        <v>0.30061643835616458</v>
      </c>
      <c r="H14" s="23">
        <v>0.28374803149606265</v>
      </c>
      <c r="I14" s="23"/>
      <c r="J14" s="13">
        <f t="shared" si="0"/>
        <v>0.3165854327085349</v>
      </c>
    </row>
    <row r="15" spans="1:18" ht="13.5" thickBot="1">
      <c r="A15" s="19"/>
      <c r="B15" s="19"/>
      <c r="C15" s="30" t="s">
        <v>75</v>
      </c>
      <c r="D15" s="31"/>
      <c r="E15" s="26">
        <f>AVERAGE(E13:E14)</f>
        <v>0.3417095816464239</v>
      </c>
      <c r="F15" s="26">
        <f>AVERAGE(F13:F14)</f>
        <v>0.30379546809779379</v>
      </c>
      <c r="G15" s="26">
        <f>AVERAGE(G13:G14)</f>
        <v>0.32323194799164151</v>
      </c>
      <c r="H15" s="26">
        <f>AVERAGE(H13:H14)</f>
        <v>0.28624901574803135</v>
      </c>
      <c r="I15" s="27"/>
      <c r="J15" s="34">
        <f t="shared" si="0"/>
        <v>0.3137465033709726</v>
      </c>
    </row>
    <row r="16" spans="1:18">
      <c r="A16" s="12"/>
      <c r="B16" s="12"/>
      <c r="C16" s="30"/>
      <c r="D16" s="31">
        <v>1</v>
      </c>
      <c r="E16" s="13">
        <v>0.25820143884892099</v>
      </c>
      <c r="F16" s="13">
        <v>0.22279569892473111</v>
      </c>
      <c r="G16" s="13">
        <v>0.24237681159420285</v>
      </c>
      <c r="H16" s="13">
        <v>0.23720547945205483</v>
      </c>
      <c r="I16" s="13"/>
      <c r="J16" s="13">
        <f t="shared" si="0"/>
        <v>0.24014485720497744</v>
      </c>
    </row>
    <row r="17" spans="1:10">
      <c r="A17" s="16"/>
      <c r="B17" s="16"/>
      <c r="C17" s="31" t="s">
        <v>80</v>
      </c>
      <c r="D17" s="31">
        <v>2</v>
      </c>
      <c r="E17" s="13">
        <v>0.26692431561996788</v>
      </c>
      <c r="F17" s="13">
        <v>0.228769716088328</v>
      </c>
      <c r="G17" s="13">
        <v>0.24963855421686748</v>
      </c>
      <c r="H17" s="13">
        <v>0.2563128491620113</v>
      </c>
      <c r="I17" s="13"/>
      <c r="J17" s="13">
        <f t="shared" si="0"/>
        <v>0.25041135877179366</v>
      </c>
    </row>
    <row r="18" spans="1:10" ht="13.5" thickBot="1">
      <c r="A18" s="19"/>
      <c r="B18" s="19"/>
      <c r="C18" s="30"/>
      <c r="D18" s="31"/>
      <c r="E18" s="26">
        <f>AVERAGE(E16:E17)</f>
        <v>0.26256287723444444</v>
      </c>
      <c r="F18" s="26">
        <f>AVERAGE(F16:F17)</f>
        <v>0.22578270750652957</v>
      </c>
      <c r="G18" s="26">
        <f>AVERAGE(G16:G17)</f>
        <v>0.24600768290553515</v>
      </c>
      <c r="H18" s="26">
        <f>AVERAGE(H16:H17)</f>
        <v>0.24675916430703307</v>
      </c>
      <c r="I18" s="27"/>
      <c r="J18" s="34">
        <f t="shared" si="0"/>
        <v>0.24527810798838556</v>
      </c>
    </row>
    <row r="19" spans="1:10">
      <c r="A19" s="12"/>
      <c r="B19" s="12"/>
      <c r="C19" s="30"/>
      <c r="D19" s="31">
        <v>1</v>
      </c>
      <c r="E19" s="20">
        <v>0.30305602716468588</v>
      </c>
      <c r="F19" s="20">
        <v>0.25999999999999979</v>
      </c>
      <c r="G19" s="20">
        <v>0.2761549925484349</v>
      </c>
      <c r="H19" s="20">
        <v>0.26017391304347814</v>
      </c>
      <c r="I19" s="20"/>
      <c r="J19" s="13">
        <f t="shared" si="0"/>
        <v>0.27484623318914969</v>
      </c>
    </row>
    <row r="20" spans="1:10">
      <c r="A20" s="16"/>
      <c r="B20" s="16"/>
      <c r="C20" s="31" t="s">
        <v>81</v>
      </c>
      <c r="D20" s="31">
        <v>2</v>
      </c>
      <c r="E20" s="20">
        <v>0.28458149779735664</v>
      </c>
      <c r="F20" s="20">
        <v>0.24819466248037669</v>
      </c>
      <c r="G20" s="20">
        <v>0.26461086637298081</v>
      </c>
      <c r="H20" s="20">
        <v>0.21249999999999972</v>
      </c>
      <c r="I20" s="20"/>
      <c r="J20" s="13">
        <f t="shared" si="0"/>
        <v>0.25247175666267846</v>
      </c>
    </row>
    <row r="21" spans="1:10" ht="13.5" thickBot="1">
      <c r="A21" s="19"/>
      <c r="B21" s="19"/>
      <c r="C21" s="30"/>
      <c r="D21" s="30"/>
      <c r="E21" s="26">
        <f>AVERAGE(E19:E20)</f>
        <v>0.29381876248102123</v>
      </c>
      <c r="F21" s="26">
        <f>AVERAGE(F19:F20)</f>
        <v>0.25409733124018824</v>
      </c>
      <c r="G21" s="26">
        <f>AVERAGE(G19:G20)</f>
        <v>0.27038292946070785</v>
      </c>
      <c r="H21" s="26">
        <f>AVERAGE(H19:H20)</f>
        <v>0.23633695652173892</v>
      </c>
      <c r="I21" s="27"/>
      <c r="J21" s="34">
        <f t="shared" si="0"/>
        <v>0.26365899492591405</v>
      </c>
    </row>
    <row r="22" spans="1:10">
      <c r="A22" s="12"/>
      <c r="B22" s="12"/>
      <c r="C22" s="30"/>
      <c r="D22" s="31">
        <v>1</v>
      </c>
      <c r="E22" s="20">
        <v>0.2577515723270441</v>
      </c>
      <c r="F22" s="20">
        <v>0.19419254658385068</v>
      </c>
      <c r="G22" s="20">
        <v>0.22362948960302459</v>
      </c>
      <c r="H22" s="20">
        <v>0.24184482758620676</v>
      </c>
      <c r="I22" s="20"/>
      <c r="J22" s="13">
        <f t="shared" si="0"/>
        <v>0.22935460902503155</v>
      </c>
    </row>
    <row r="23" spans="1:10">
      <c r="A23" s="16"/>
      <c r="B23" s="16"/>
      <c r="C23" s="31" t="s">
        <v>82</v>
      </c>
      <c r="D23" s="31">
        <v>2</v>
      </c>
      <c r="E23" s="20">
        <v>0.21820253164556969</v>
      </c>
      <c r="F23" s="20">
        <v>0.23433931484502449</v>
      </c>
      <c r="G23" s="20">
        <v>0.23659999999999984</v>
      </c>
      <c r="H23" s="539">
        <v>0.24</v>
      </c>
      <c r="I23" s="20"/>
      <c r="J23" s="13">
        <f t="shared" si="0"/>
        <v>0.23228546162264849</v>
      </c>
    </row>
    <row r="24" spans="1:10" ht="13.5" thickBot="1">
      <c r="A24" s="19"/>
      <c r="B24" s="19"/>
      <c r="C24" s="30"/>
      <c r="D24" s="30"/>
      <c r="E24" s="26">
        <f>AVERAGE(E22:E23)</f>
        <v>0.23797705198630689</v>
      </c>
      <c r="F24" s="26">
        <f>AVERAGE(F22:F23)</f>
        <v>0.21426593071443759</v>
      </c>
      <c r="G24" s="26">
        <f>AVERAGE(G22:G23)</f>
        <v>0.23011474480151223</v>
      </c>
      <c r="H24" s="26">
        <f>AVERAGE(H22:H23)</f>
        <v>0.24092241379310336</v>
      </c>
      <c r="I24" s="27"/>
      <c r="J24" s="34">
        <f t="shared" si="0"/>
        <v>0.23082003532384004</v>
      </c>
    </row>
    <row r="25" spans="1:10">
      <c r="A25" s="12"/>
      <c r="B25" s="12"/>
      <c r="C25" s="30"/>
      <c r="D25" s="31">
        <v>1</v>
      </c>
      <c r="E25" s="20">
        <v>0.19504187604690099</v>
      </c>
      <c r="F25" s="20">
        <v>0.16094754653130278</v>
      </c>
      <c r="G25" s="20">
        <v>0.21448165869218502</v>
      </c>
      <c r="H25" s="20">
        <v>0.20404354587869358</v>
      </c>
      <c r="I25" s="20"/>
      <c r="J25" s="13">
        <f t="shared" si="0"/>
        <v>0.19362865678727059</v>
      </c>
    </row>
    <row r="26" spans="1:10">
      <c r="A26" s="16"/>
      <c r="B26" s="16"/>
      <c r="C26" s="31" t="s">
        <v>83</v>
      </c>
      <c r="D26" s="31">
        <v>2</v>
      </c>
      <c r="E26" s="20">
        <v>0.19886614173228351</v>
      </c>
      <c r="F26" s="20">
        <v>0.20360163710777643</v>
      </c>
      <c r="G26" s="20">
        <v>0.20154882154882145</v>
      </c>
      <c r="H26" s="20">
        <v>0.18392523364485991</v>
      </c>
      <c r="I26" s="20"/>
      <c r="J26" s="13">
        <f t="shared" si="0"/>
        <v>0.19698545850843532</v>
      </c>
    </row>
    <row r="27" spans="1:10" ht="13.5" thickBot="1">
      <c r="A27" s="19"/>
      <c r="B27" s="19"/>
      <c r="C27" s="30"/>
      <c r="D27" s="30"/>
      <c r="E27" s="26">
        <f>AVERAGE(E25:E26)</f>
        <v>0.19695400888959225</v>
      </c>
      <c r="F27" s="26">
        <f>AVERAGE(F25:F26)</f>
        <v>0.18227459181953959</v>
      </c>
      <c r="G27" s="26">
        <f>AVERAGE(G25:G26)</f>
        <v>0.20801524012050324</v>
      </c>
      <c r="H27" s="26">
        <f>AVERAGE(H25:H26)</f>
        <v>0.19398438976177673</v>
      </c>
      <c r="I27" s="27"/>
      <c r="J27" s="34">
        <f t="shared" si="0"/>
        <v>0.19530705764785294</v>
      </c>
    </row>
    <row r="28" spans="1:10">
      <c r="A28" s="12"/>
      <c r="B28" s="12"/>
      <c r="C28" s="30"/>
      <c r="D28" s="31">
        <v>1</v>
      </c>
      <c r="E28" s="20">
        <v>0.23784148397976373</v>
      </c>
      <c r="F28" s="20">
        <v>0.30304347826086964</v>
      </c>
      <c r="G28" s="20">
        <v>0.29599999999999976</v>
      </c>
      <c r="H28" s="20">
        <v>0.22363636363636355</v>
      </c>
      <c r="I28" s="20"/>
      <c r="J28" s="13">
        <f t="shared" si="0"/>
        <v>0.26513033146924919</v>
      </c>
    </row>
    <row r="29" spans="1:10">
      <c r="A29" s="16"/>
      <c r="B29" s="16"/>
      <c r="C29" s="31" t="s">
        <v>84</v>
      </c>
      <c r="D29" s="31">
        <v>2</v>
      </c>
      <c r="E29" s="20">
        <v>0.27065359477124207</v>
      </c>
      <c r="F29" s="539">
        <v>0.18933333333333313</v>
      </c>
      <c r="G29" s="20">
        <v>0.29115942028985492</v>
      </c>
      <c r="H29" s="20">
        <v>0.25230769230769212</v>
      </c>
      <c r="I29" s="20"/>
      <c r="J29" s="13">
        <f t="shared" si="0"/>
        <v>0.25086351017553055</v>
      </c>
    </row>
    <row r="30" spans="1:10" ht="13.5" thickBot="1">
      <c r="A30" s="19"/>
      <c r="B30" s="19"/>
      <c r="C30" s="30"/>
      <c r="D30" s="30"/>
      <c r="E30" s="26">
        <f>AVERAGE(E28:E29)</f>
        <v>0.25424753937550293</v>
      </c>
      <c r="F30" s="26">
        <f>AVERAGE(F28:F29)</f>
        <v>0.24618840579710138</v>
      </c>
      <c r="G30" s="26">
        <f>AVERAGE(G28:G29)</f>
        <v>0.29357971014492734</v>
      </c>
      <c r="H30" s="26">
        <f>AVERAGE(H28:H29)</f>
        <v>0.23797202797202782</v>
      </c>
      <c r="I30" s="27"/>
      <c r="J30" s="34">
        <f t="shared" si="0"/>
        <v>0.2579969208223899</v>
      </c>
    </row>
    <row r="31" spans="1:10">
      <c r="A31" s="12"/>
      <c r="B31" s="12"/>
      <c r="C31" s="30"/>
      <c r="D31" s="31">
        <v>1</v>
      </c>
      <c r="E31" s="20">
        <v>0.33353637901861244</v>
      </c>
      <c r="F31" s="20">
        <v>0.34195652173913038</v>
      </c>
      <c r="G31" s="20">
        <v>0.36813868613138667</v>
      </c>
      <c r="H31" s="20">
        <v>0.35521167883211674</v>
      </c>
      <c r="I31" s="20"/>
      <c r="J31" s="13">
        <f t="shared" si="0"/>
        <v>0.34971081643031154</v>
      </c>
    </row>
    <row r="32" spans="1:10">
      <c r="A32" s="16"/>
      <c r="B32" s="16"/>
      <c r="C32" s="31" t="s">
        <v>85</v>
      </c>
      <c r="D32" s="31">
        <v>2</v>
      </c>
      <c r="E32" s="20">
        <v>0.36912977099236649</v>
      </c>
      <c r="F32" s="20">
        <v>0.29014492753623194</v>
      </c>
      <c r="G32" s="20">
        <v>0.36489959839357433</v>
      </c>
      <c r="H32" s="539">
        <v>0.36</v>
      </c>
      <c r="I32" s="20"/>
      <c r="J32" s="13">
        <f t="shared" si="0"/>
        <v>0.34604357423054322</v>
      </c>
    </row>
    <row r="33" spans="1:11" ht="13.5" thickBot="1">
      <c r="A33" s="19"/>
      <c r="B33" s="19"/>
      <c r="C33" s="30"/>
      <c r="D33" s="30"/>
      <c r="E33" s="26">
        <f>AVERAGE(E31:E32)</f>
        <v>0.35133307500548949</v>
      </c>
      <c r="F33" s="26">
        <f>AVERAGE(F31:F32)</f>
        <v>0.31605072463768114</v>
      </c>
      <c r="G33" s="26">
        <f>AVERAGE(G31:G32)</f>
        <v>0.3665191422624805</v>
      </c>
      <c r="H33" s="26">
        <f>AVERAGE(H31:H32)</f>
        <v>0.35760583941605839</v>
      </c>
      <c r="I33" s="27"/>
      <c r="J33" s="34">
        <f t="shared" si="0"/>
        <v>0.34787719533042738</v>
      </c>
    </row>
    <row r="34" spans="1:11">
      <c r="A34" s="12"/>
      <c r="B34" s="12"/>
      <c r="C34" s="30"/>
      <c r="D34" s="31">
        <v>1</v>
      </c>
      <c r="E34" s="20">
        <v>0.4022684310018903</v>
      </c>
      <c r="F34" s="20">
        <v>0.39939939939939945</v>
      </c>
      <c r="G34" s="20">
        <v>0.41121813031161458</v>
      </c>
      <c r="H34" s="20">
        <v>0.41123287671232872</v>
      </c>
      <c r="I34" s="20"/>
      <c r="J34" s="13">
        <f t="shared" si="0"/>
        <v>0.40602970935630828</v>
      </c>
    </row>
    <row r="35" spans="1:11">
      <c r="A35" s="16"/>
      <c r="B35" s="16"/>
      <c r="C35" s="31" t="s">
        <v>86</v>
      </c>
      <c r="D35" s="31">
        <v>2</v>
      </c>
      <c r="E35" s="20">
        <v>0.44611195158850209</v>
      </c>
      <c r="F35" s="20">
        <v>0.39351351351351321</v>
      </c>
      <c r="G35" s="20">
        <v>0.42976190476190484</v>
      </c>
      <c r="H35" s="20">
        <v>0.42616822429906548</v>
      </c>
      <c r="I35" s="20"/>
      <c r="J35" s="13">
        <f t="shared" si="0"/>
        <v>0.42388889854074641</v>
      </c>
    </row>
    <row r="36" spans="1:11" ht="13.5" thickBot="1">
      <c r="A36" s="19"/>
      <c r="B36" s="19"/>
      <c r="C36" s="30"/>
      <c r="D36" s="30"/>
      <c r="E36" s="26">
        <f>AVERAGE(E34:E35)</f>
        <v>0.4241901912951962</v>
      </c>
      <c r="F36" s="26">
        <f>AVERAGE(F34:F35)</f>
        <v>0.39645645645645633</v>
      </c>
      <c r="G36" s="26">
        <f>AVERAGE(G34:G35)</f>
        <v>0.42049001753675974</v>
      </c>
      <c r="H36" s="26">
        <f>AVERAGE(H34:H35)</f>
        <v>0.4187005505056971</v>
      </c>
      <c r="I36" s="27"/>
      <c r="J36" s="34">
        <f t="shared" si="0"/>
        <v>0.41495930394852737</v>
      </c>
    </row>
    <row r="37" spans="1:11">
      <c r="A37" s="12"/>
      <c r="B37" s="12"/>
      <c r="C37" s="30"/>
      <c r="D37" s="31">
        <v>1</v>
      </c>
      <c r="E37" s="20">
        <v>0.42132283464566933</v>
      </c>
      <c r="F37" s="20">
        <v>0.41505882352941165</v>
      </c>
      <c r="G37" s="20">
        <v>0.43208398133748027</v>
      </c>
      <c r="H37" s="20">
        <v>0.43842105263157899</v>
      </c>
      <c r="I37" s="20"/>
      <c r="J37" s="13">
        <f t="shared" si="0"/>
        <v>0.42672167303603503</v>
      </c>
    </row>
    <row r="38" spans="1:11">
      <c r="A38" s="16"/>
      <c r="B38" s="16"/>
      <c r="C38" s="31" t="s">
        <v>87</v>
      </c>
      <c r="D38" s="31">
        <v>2</v>
      </c>
      <c r="E38" s="20">
        <v>0.4297284345047922</v>
      </c>
      <c r="F38" s="20">
        <v>0.4072995780590718</v>
      </c>
      <c r="G38" s="20">
        <v>0.43665629860031124</v>
      </c>
      <c r="H38" s="20">
        <v>0.40358717434869756</v>
      </c>
      <c r="I38" s="20"/>
      <c r="J38" s="13">
        <f t="shared" si="0"/>
        <v>0.41931787137821824</v>
      </c>
    </row>
    <row r="39" spans="1:11" ht="13.5" thickBot="1">
      <c r="A39" s="19"/>
      <c r="B39" s="19"/>
      <c r="C39" s="30"/>
      <c r="D39" s="30"/>
      <c r="E39" s="26">
        <f>AVERAGE(E37:E38)</f>
        <v>0.42552563457523074</v>
      </c>
      <c r="F39" s="26">
        <f>AVERAGE(F37:F38)</f>
        <v>0.41117920079424175</v>
      </c>
      <c r="G39" s="26">
        <f>AVERAGE(G37:G38)</f>
        <v>0.43437013996889573</v>
      </c>
      <c r="H39" s="26">
        <f>AVERAGE(H37:H38)</f>
        <v>0.42100411349013828</v>
      </c>
      <c r="I39" s="27"/>
      <c r="J39" s="34">
        <f t="shared" si="0"/>
        <v>0.42301977220712667</v>
      </c>
    </row>
    <row r="40" spans="1:11">
      <c r="A40" s="12"/>
      <c r="B40" s="12"/>
      <c r="C40" s="30"/>
      <c r="D40" s="31">
        <v>1</v>
      </c>
      <c r="E40" s="20">
        <v>0.42777008310249298</v>
      </c>
      <c r="F40" s="20">
        <v>0.41726618705035967</v>
      </c>
      <c r="G40" s="20">
        <v>0.43258333333333349</v>
      </c>
      <c r="H40" s="20">
        <v>0.42255917159763318</v>
      </c>
      <c r="I40" s="20"/>
      <c r="J40" s="13">
        <f t="shared" si="0"/>
        <v>0.42504469377095483</v>
      </c>
    </row>
    <row r="41" spans="1:11">
      <c r="A41" s="16"/>
      <c r="B41" s="16"/>
      <c r="C41" s="31" t="s">
        <v>88</v>
      </c>
      <c r="D41" s="31">
        <v>2</v>
      </c>
      <c r="E41" s="20">
        <v>0.44406249999999986</v>
      </c>
      <c r="F41" s="20">
        <v>0.41548076923076893</v>
      </c>
      <c r="G41" s="20">
        <v>0.42352941176470604</v>
      </c>
      <c r="H41" s="20">
        <v>0.40663474692202467</v>
      </c>
      <c r="I41" s="20"/>
      <c r="J41" s="13">
        <f t="shared" si="0"/>
        <v>0.42242685697937488</v>
      </c>
    </row>
    <row r="42" spans="1:11" ht="13.5" thickBot="1">
      <c r="A42" s="19"/>
      <c r="B42" s="19"/>
      <c r="C42" s="30"/>
      <c r="D42" s="30"/>
      <c r="E42" s="26">
        <f>AVERAGE(E40:E41)</f>
        <v>0.43591629155124645</v>
      </c>
      <c r="F42" s="26">
        <f>AVERAGE(F40:F41)</f>
        <v>0.4163734781405643</v>
      </c>
      <c r="G42" s="26">
        <f>AVERAGE(G40:G41)</f>
        <v>0.42805637254901974</v>
      </c>
      <c r="H42" s="26">
        <f>AVERAGE(H40:H41)</f>
        <v>0.41459695925982892</v>
      </c>
      <c r="I42" s="27"/>
      <c r="J42" s="34">
        <f t="shared" si="0"/>
        <v>0.42373577537516482</v>
      </c>
    </row>
    <row r="45" spans="1:11">
      <c r="A45" s="4" t="s">
        <v>561</v>
      </c>
    </row>
    <row r="46" spans="1:11" ht="13.5" thickBot="1"/>
    <row r="47" spans="1:11" ht="48" thickBot="1">
      <c r="A47" s="627" t="s">
        <v>89</v>
      </c>
      <c r="B47" s="628" t="s">
        <v>68</v>
      </c>
      <c r="C47" s="5" t="s">
        <v>725</v>
      </c>
      <c r="D47" s="5" t="s">
        <v>723</v>
      </c>
      <c r="E47" s="631" t="s">
        <v>228</v>
      </c>
      <c r="F47" s="632"/>
      <c r="G47" s="632"/>
      <c r="H47" s="632"/>
      <c r="I47" s="632"/>
      <c r="J47" s="6" t="s">
        <v>724</v>
      </c>
      <c r="K47" s="29"/>
    </row>
    <row r="48" spans="1:11" ht="16.5" thickBot="1">
      <c r="A48" s="627"/>
      <c r="B48" s="628"/>
      <c r="C48" s="7"/>
      <c r="D48" s="22"/>
      <c r="E48" s="8" t="s">
        <v>719</v>
      </c>
      <c r="F48" s="8" t="s">
        <v>720</v>
      </c>
      <c r="G48" s="8" t="s">
        <v>721</v>
      </c>
      <c r="H48" s="9" t="s">
        <v>722</v>
      </c>
      <c r="I48" s="9"/>
      <c r="J48" s="10"/>
    </row>
    <row r="49" spans="1:11">
      <c r="A49" s="12"/>
      <c r="B49" s="12"/>
      <c r="C49" s="30"/>
      <c r="D49" s="31">
        <v>1</v>
      </c>
      <c r="E49" s="13">
        <v>0.3563464140730716</v>
      </c>
      <c r="F49" s="13">
        <v>0.34311926605504584</v>
      </c>
      <c r="G49" s="13">
        <v>0.31374167776298295</v>
      </c>
      <c r="H49" s="23">
        <v>0.26882793017456363</v>
      </c>
      <c r="I49" s="23"/>
      <c r="J49" s="13">
        <f>AVERAGE(E49:I49)</f>
        <v>0.32050882201641595</v>
      </c>
    </row>
    <row r="50" spans="1:11">
      <c r="A50" s="16"/>
      <c r="B50" s="16"/>
      <c r="C50" s="31" t="s">
        <v>74</v>
      </c>
      <c r="D50" s="31">
        <v>2</v>
      </c>
      <c r="E50" s="13">
        <v>0.37320905459387493</v>
      </c>
      <c r="F50" s="13">
        <v>0.24707165109034301</v>
      </c>
      <c r="G50" s="13">
        <v>0.29710610932475889</v>
      </c>
      <c r="H50" s="23">
        <v>0.30800000000000005</v>
      </c>
      <c r="I50" s="23"/>
      <c r="J50" s="13">
        <f t="shared" ref="J50:J78" si="1">AVERAGE(E50:I50)</f>
        <v>0.30634670375224421</v>
      </c>
    </row>
    <row r="51" spans="1:11" ht="13.5" thickBot="1">
      <c r="A51" s="19"/>
      <c r="B51" s="19"/>
      <c r="C51" s="30" t="s">
        <v>75</v>
      </c>
      <c r="D51" s="31"/>
      <c r="E51" s="26">
        <f>AVERAGE(E49:E50)</f>
        <v>0.36477773433347327</v>
      </c>
      <c r="F51" s="26">
        <f>AVERAGE(F49:F50)</f>
        <v>0.29509545857269442</v>
      </c>
      <c r="G51" s="26">
        <f>AVERAGE(G49:G50)</f>
        <v>0.30542389354387089</v>
      </c>
      <c r="H51" s="26">
        <f>AVERAGE(H49:H50)</f>
        <v>0.28841396508728184</v>
      </c>
      <c r="I51" s="26"/>
      <c r="J51" s="34">
        <f>AVERAGE(F51:I51)</f>
        <v>0.29631110573461572</v>
      </c>
      <c r="K51" s="14">
        <f>AVERAGE(J15,J51)</f>
        <v>0.30502880455279413</v>
      </c>
    </row>
    <row r="52" spans="1:11">
      <c r="A52" s="12"/>
      <c r="B52" s="12"/>
      <c r="C52" s="30"/>
      <c r="D52" s="31">
        <v>1</v>
      </c>
      <c r="E52" s="13">
        <v>0.26305647840531532</v>
      </c>
      <c r="F52" s="13">
        <v>0.24666666666666665</v>
      </c>
      <c r="G52" s="13">
        <v>0.25200577200577196</v>
      </c>
      <c r="H52" s="13">
        <v>0.27670668953687838</v>
      </c>
      <c r="I52" s="13"/>
      <c r="J52" s="13">
        <f t="shared" si="1"/>
        <v>0.25960890165365808</v>
      </c>
    </row>
    <row r="53" spans="1:11">
      <c r="A53" s="16"/>
      <c r="B53" s="16"/>
      <c r="C53" s="31" t="s">
        <v>80</v>
      </c>
      <c r="D53" s="31">
        <v>2</v>
      </c>
      <c r="E53" s="13">
        <v>0.273872549019608</v>
      </c>
      <c r="F53" s="13">
        <v>0.27092284417549151</v>
      </c>
      <c r="G53" s="13">
        <v>0.25545205479452043</v>
      </c>
      <c r="H53" s="13">
        <v>0.26768310911808657</v>
      </c>
      <c r="I53" s="13"/>
      <c r="J53" s="13">
        <f t="shared" si="1"/>
        <v>0.26698263927692667</v>
      </c>
    </row>
    <row r="54" spans="1:11" ht="13.5" thickBot="1">
      <c r="A54" s="19"/>
      <c r="B54" s="19"/>
      <c r="C54" s="30"/>
      <c r="D54" s="31"/>
      <c r="E54" s="26">
        <f>AVERAGE(E52:E53)</f>
        <v>0.26846451371246166</v>
      </c>
      <c r="F54" s="26">
        <f>AVERAGE(F52:F53)</f>
        <v>0.2587947554210791</v>
      </c>
      <c r="G54" s="26">
        <f>AVERAGE(G52:G53)</f>
        <v>0.25372891340014619</v>
      </c>
      <c r="H54" s="26">
        <f>AVERAGE(H52:H53)</f>
        <v>0.27219489932748248</v>
      </c>
      <c r="I54" s="27"/>
      <c r="J54" s="34">
        <f t="shared" si="1"/>
        <v>0.26329577046529234</v>
      </c>
      <c r="K54" s="14">
        <f>AVERAGE(J18,J54)</f>
        <v>0.25428693922683898</v>
      </c>
    </row>
    <row r="55" spans="1:11">
      <c r="A55" s="12"/>
      <c r="B55" s="12"/>
      <c r="C55" s="30"/>
      <c r="D55" s="31">
        <v>1</v>
      </c>
      <c r="E55" s="20">
        <v>0.19697732997481113</v>
      </c>
      <c r="F55" s="20">
        <v>0.26959370904325053</v>
      </c>
      <c r="G55" s="20">
        <v>0.27822822822822835</v>
      </c>
      <c r="H55" s="20">
        <v>0.2750385208012327</v>
      </c>
      <c r="I55" s="20"/>
      <c r="J55" s="13">
        <f t="shared" si="1"/>
        <v>0.25495944701188067</v>
      </c>
    </row>
    <row r="56" spans="1:11">
      <c r="A56" s="16"/>
      <c r="B56" s="16"/>
      <c r="C56" s="31" t="s">
        <v>81</v>
      </c>
      <c r="D56" s="31">
        <v>2</v>
      </c>
      <c r="E56" s="20">
        <v>0.30777934936350809</v>
      </c>
      <c r="F56" s="20">
        <v>0.28792341678939615</v>
      </c>
      <c r="G56" s="20">
        <v>0.28540145985401422</v>
      </c>
      <c r="H56" s="20">
        <v>0.27595712098009173</v>
      </c>
      <c r="I56" s="20"/>
      <c r="J56" s="13">
        <f t="shared" si="1"/>
        <v>0.28926533674675253</v>
      </c>
    </row>
    <row r="57" spans="1:11" ht="13.5" thickBot="1">
      <c r="A57" s="19"/>
      <c r="B57" s="19"/>
      <c r="C57" s="30"/>
      <c r="D57" s="30"/>
      <c r="E57" s="26">
        <f>AVERAGE(E55:E56)</f>
        <v>0.25237833966915962</v>
      </c>
      <c r="F57" s="26">
        <f>AVERAGE(F55:F56)</f>
        <v>0.27875856291632334</v>
      </c>
      <c r="G57" s="26">
        <f>AVERAGE(G55:G56)</f>
        <v>0.28181484404112128</v>
      </c>
      <c r="H57" s="26">
        <f>AVERAGE(H55:H56)</f>
        <v>0.27549782089066222</v>
      </c>
      <c r="I57" s="27"/>
      <c r="J57" s="34">
        <f t="shared" si="1"/>
        <v>0.27211239187931663</v>
      </c>
      <c r="K57" s="14">
        <f>AVERAGE(J21,J57)</f>
        <v>0.26788569340261537</v>
      </c>
    </row>
    <row r="58" spans="1:11">
      <c r="A58" s="12"/>
      <c r="B58" s="12"/>
      <c r="C58" s="30"/>
      <c r="D58" s="31">
        <v>1</v>
      </c>
      <c r="E58" s="20">
        <v>0.29504189944134079</v>
      </c>
      <c r="F58" s="20">
        <v>0.26283765347885413</v>
      </c>
      <c r="G58" s="20">
        <v>0.2871359223300971</v>
      </c>
      <c r="H58" s="20">
        <v>0.27300000000000002</v>
      </c>
      <c r="I58" s="20"/>
      <c r="J58" s="13">
        <f t="shared" si="1"/>
        <v>0.27950386881257305</v>
      </c>
    </row>
    <row r="59" spans="1:11">
      <c r="A59" s="16"/>
      <c r="B59" s="16"/>
      <c r="C59" s="31" t="s">
        <v>82</v>
      </c>
      <c r="D59" s="31">
        <v>2</v>
      </c>
      <c r="E59" s="20">
        <v>0.27664505672609424</v>
      </c>
      <c r="F59" s="20">
        <v>0.29038699690402464</v>
      </c>
      <c r="G59" s="20">
        <v>0.25980213089802112</v>
      </c>
      <c r="H59" s="20">
        <v>0.26157814871016655</v>
      </c>
      <c r="I59" s="20"/>
      <c r="J59" s="13">
        <f t="shared" si="1"/>
        <v>0.27210308330957661</v>
      </c>
    </row>
    <row r="60" spans="1:11" ht="13.5" thickBot="1">
      <c r="A60" s="19"/>
      <c r="B60" s="19"/>
      <c r="C60" s="30"/>
      <c r="D60" s="30"/>
      <c r="E60" s="26">
        <f>AVERAGE(E58:E59)</f>
        <v>0.28584347808371752</v>
      </c>
      <c r="F60" s="26">
        <f>AVERAGE(F58:F59)</f>
        <v>0.27661232519143941</v>
      </c>
      <c r="G60" s="26">
        <f>AVERAGE(G58:G59)</f>
        <v>0.27346902661405914</v>
      </c>
      <c r="H60" s="26">
        <f>AVERAGE(H58:H59)</f>
        <v>0.26728907435508331</v>
      </c>
      <c r="I60" s="27"/>
      <c r="J60" s="34">
        <f t="shared" si="1"/>
        <v>0.27580347606107486</v>
      </c>
      <c r="K60" s="14">
        <f>AVERAGE(J24,J60)</f>
        <v>0.25331175569245745</v>
      </c>
    </row>
    <row r="61" spans="1:11">
      <c r="A61" s="12"/>
      <c r="B61" s="12"/>
      <c r="C61" s="30"/>
      <c r="D61" s="31">
        <v>1</v>
      </c>
      <c r="E61" s="20">
        <v>0.37434782608695655</v>
      </c>
      <c r="F61" s="20">
        <v>0.35406622516556285</v>
      </c>
      <c r="G61" s="20">
        <v>0.33024657534246576</v>
      </c>
      <c r="H61" s="20">
        <v>0.35444253859348179</v>
      </c>
      <c r="I61" s="20"/>
      <c r="J61" s="13">
        <f t="shared" si="1"/>
        <v>0.35327579129711673</v>
      </c>
    </row>
    <row r="62" spans="1:11">
      <c r="A62" s="16"/>
      <c r="B62" s="16"/>
      <c r="C62" s="31" t="s">
        <v>83</v>
      </c>
      <c r="D62" s="31">
        <v>2</v>
      </c>
      <c r="E62" s="20">
        <v>0.36723226703755196</v>
      </c>
      <c r="F62" s="20">
        <v>0.34970588235294114</v>
      </c>
      <c r="G62" s="20">
        <v>0.40094637223974755</v>
      </c>
      <c r="H62" s="20">
        <v>0.37669467787114819</v>
      </c>
      <c r="I62" s="20"/>
      <c r="J62" s="13">
        <f t="shared" si="1"/>
        <v>0.37364479987534721</v>
      </c>
    </row>
    <row r="63" spans="1:11" ht="13.5" thickBot="1">
      <c r="A63" s="19"/>
      <c r="B63" s="19"/>
      <c r="C63" s="30"/>
      <c r="D63" s="30"/>
      <c r="E63" s="26">
        <f>AVERAGE(E61:E62)</f>
        <v>0.37079004656225423</v>
      </c>
      <c r="F63" s="26">
        <f>AVERAGE(F61:F62)</f>
        <v>0.35188605375925197</v>
      </c>
      <c r="G63" s="26">
        <f>AVERAGE(G61:G62)</f>
        <v>0.36559647379110666</v>
      </c>
      <c r="H63" s="26">
        <f>AVERAGE(H61:H62)</f>
        <v>0.36556860823231496</v>
      </c>
      <c r="I63" s="27"/>
      <c r="J63" s="34">
        <f t="shared" si="1"/>
        <v>0.36346029558623194</v>
      </c>
      <c r="K63" s="14">
        <f>AVERAGE(J27,J63)</f>
        <v>0.27938367661704244</v>
      </c>
    </row>
    <row r="64" spans="1:11">
      <c r="A64" s="12"/>
      <c r="B64" s="12"/>
      <c r="C64" s="30"/>
      <c r="D64" s="31">
        <v>1</v>
      </c>
      <c r="E64" s="20">
        <v>0.43216216216216208</v>
      </c>
      <c r="F64" s="20">
        <v>0.43848942598187324</v>
      </c>
      <c r="G64" s="20">
        <v>0.41546666666666665</v>
      </c>
      <c r="H64" s="20">
        <v>0.42902953586497872</v>
      </c>
      <c r="I64" s="20"/>
      <c r="J64" s="13">
        <f t="shared" si="1"/>
        <v>0.42878694766892017</v>
      </c>
    </row>
    <row r="65" spans="1:12">
      <c r="A65" s="16"/>
      <c r="B65" s="16"/>
      <c r="C65" s="31" t="s">
        <v>84</v>
      </c>
      <c r="D65" s="31">
        <v>2</v>
      </c>
      <c r="E65" s="20">
        <v>0.44884210526315788</v>
      </c>
      <c r="F65" s="20">
        <v>0.41965463108320239</v>
      </c>
      <c r="G65" s="20">
        <v>0.47140695915279879</v>
      </c>
      <c r="H65" s="20">
        <v>0.44291970802919706</v>
      </c>
      <c r="I65" s="20"/>
      <c r="J65" s="13">
        <f t="shared" si="1"/>
        <v>0.44570585088208903</v>
      </c>
    </row>
    <row r="66" spans="1:12" ht="13.5" thickBot="1">
      <c r="A66" s="19"/>
      <c r="B66" s="19"/>
      <c r="C66" s="30"/>
      <c r="D66" s="30"/>
      <c r="E66" s="26">
        <f>AVERAGE(E64:E65)</f>
        <v>0.44050213371266</v>
      </c>
      <c r="F66" s="26">
        <f>AVERAGE(F64:F65)</f>
        <v>0.42907202853253779</v>
      </c>
      <c r="G66" s="26">
        <f>AVERAGE(G64:G65)</f>
        <v>0.44343681290973269</v>
      </c>
      <c r="H66" s="26">
        <f>AVERAGE(H64:H65)</f>
        <v>0.43597462194708791</v>
      </c>
      <c r="I66" s="27"/>
      <c r="J66" s="34">
        <f t="shared" si="1"/>
        <v>0.43724639927550457</v>
      </c>
      <c r="K66" s="540">
        <f>AVERAGE(J30,J66)</f>
        <v>0.34762166004894723</v>
      </c>
      <c r="L66" s="4">
        <v>0.26</v>
      </c>
    </row>
    <row r="67" spans="1:12">
      <c r="A67" s="12"/>
      <c r="B67" s="12"/>
      <c r="C67" s="30"/>
      <c r="D67" s="31">
        <v>1</v>
      </c>
      <c r="E67" s="20">
        <v>0.42672153635116605</v>
      </c>
      <c r="F67" s="20">
        <v>0.42843894899536322</v>
      </c>
      <c r="G67" s="20">
        <v>0.45184027777777791</v>
      </c>
      <c r="H67" s="20">
        <v>0.44702467343976787</v>
      </c>
      <c r="I67" s="20"/>
      <c r="J67" s="13">
        <f t="shared" si="1"/>
        <v>0.43850635914101876</v>
      </c>
    </row>
    <row r="68" spans="1:12">
      <c r="A68" s="16"/>
      <c r="B68" s="16"/>
      <c r="C68" s="31" t="s">
        <v>85</v>
      </c>
      <c r="D68" s="31">
        <v>2</v>
      </c>
      <c r="E68" s="20">
        <v>0.42777777777777781</v>
      </c>
      <c r="F68" s="20">
        <v>0.4179411764705882</v>
      </c>
      <c r="G68" s="20">
        <v>0.46152905198776745</v>
      </c>
      <c r="H68" s="20">
        <v>0.45820029027576203</v>
      </c>
      <c r="I68" s="20"/>
      <c r="J68" s="13">
        <f t="shared" si="1"/>
        <v>0.4413620741279739</v>
      </c>
    </row>
    <row r="69" spans="1:12" ht="13.5" thickBot="1">
      <c r="A69" s="19"/>
      <c r="B69" s="19"/>
      <c r="C69" s="30"/>
      <c r="D69" s="30"/>
      <c r="E69" s="26">
        <f>AVERAGE(E67:E68)</f>
        <v>0.42724965706447193</v>
      </c>
      <c r="F69" s="26">
        <f>AVERAGE(F67:F68)</f>
        <v>0.42319006273297571</v>
      </c>
      <c r="G69" s="26">
        <f>AVERAGE(G67:G68)</f>
        <v>0.45668466488277271</v>
      </c>
      <c r="H69" s="26">
        <f>AVERAGE(H67:H68)</f>
        <v>0.45261248185776493</v>
      </c>
      <c r="I69" s="27"/>
      <c r="J69" s="34">
        <f t="shared" si="1"/>
        <v>0.43993421663449628</v>
      </c>
      <c r="K69" s="14">
        <f>AVERAGE(J33,J69)</f>
        <v>0.39390570598246183</v>
      </c>
    </row>
    <row r="70" spans="1:12">
      <c r="A70" s="12"/>
      <c r="B70" s="12"/>
      <c r="C70" s="30"/>
      <c r="D70" s="31">
        <v>1</v>
      </c>
      <c r="E70" s="20">
        <v>0.41382198952879606</v>
      </c>
      <c r="F70" s="20">
        <v>0.42772655007949134</v>
      </c>
      <c r="G70" s="20">
        <v>0.42765273311897101</v>
      </c>
      <c r="H70" s="20">
        <v>0.44981767180925653</v>
      </c>
      <c r="I70" s="20"/>
      <c r="J70" s="13">
        <f t="shared" si="1"/>
        <v>0.42975473613412873</v>
      </c>
    </row>
    <row r="71" spans="1:12">
      <c r="A71" s="16"/>
      <c r="B71" s="16"/>
      <c r="C71" s="31" t="s">
        <v>86</v>
      </c>
      <c r="D71" s="31">
        <v>2</v>
      </c>
      <c r="E71" s="20">
        <v>0.44095563139931732</v>
      </c>
      <c r="F71" s="20">
        <v>0.43467625899280593</v>
      </c>
      <c r="G71" s="20">
        <v>0.45794871794871828</v>
      </c>
      <c r="H71" s="20">
        <v>0.4459600614439323</v>
      </c>
      <c r="I71" s="20"/>
      <c r="J71" s="13">
        <f t="shared" si="1"/>
        <v>0.44488516744619344</v>
      </c>
    </row>
    <row r="72" spans="1:12" ht="13.5" thickBot="1">
      <c r="A72" s="19"/>
      <c r="B72" s="19"/>
      <c r="C72" s="30"/>
      <c r="D72" s="30"/>
      <c r="E72" s="26">
        <f>AVERAGE(E70:E71)</f>
        <v>0.42738881046405669</v>
      </c>
      <c r="F72" s="26">
        <f>AVERAGE(F70:F71)</f>
        <v>0.43120140453614864</v>
      </c>
      <c r="G72" s="26">
        <f>AVERAGE(G70:G71)</f>
        <v>0.44280072553384464</v>
      </c>
      <c r="H72" s="26">
        <f>AVERAGE(H70:H71)</f>
        <v>0.44788886662659444</v>
      </c>
      <c r="I72" s="27"/>
      <c r="J72" s="34">
        <f t="shared" si="1"/>
        <v>0.43731995179016114</v>
      </c>
      <c r="K72" s="14">
        <f>AVERAGE(J36,J72)</f>
        <v>0.42613962786934423</v>
      </c>
    </row>
    <row r="73" spans="1:12">
      <c r="A73" s="12"/>
      <c r="B73" s="12"/>
      <c r="C73" s="30"/>
      <c r="D73" s="31">
        <v>1</v>
      </c>
      <c r="E73" s="20">
        <v>0.45364249578414834</v>
      </c>
      <c r="F73" s="20">
        <v>0.44574193548387087</v>
      </c>
      <c r="G73" s="20">
        <v>0.45753012048192776</v>
      </c>
      <c r="H73" s="20">
        <v>0.44847457627118664</v>
      </c>
      <c r="I73" s="20"/>
      <c r="J73" s="13">
        <f t="shared" si="1"/>
        <v>0.4513472820052834</v>
      </c>
    </row>
    <row r="74" spans="1:12">
      <c r="A74" s="16"/>
      <c r="B74" s="16"/>
      <c r="C74" s="31" t="s">
        <v>87</v>
      </c>
      <c r="D74" s="31">
        <v>2</v>
      </c>
      <c r="E74" s="20">
        <v>0.45143225806451609</v>
      </c>
      <c r="F74" s="20">
        <v>0.44372681281618859</v>
      </c>
      <c r="G74" s="20">
        <v>0.46302752293578003</v>
      </c>
      <c r="H74" s="20">
        <v>0.45564575645756444</v>
      </c>
      <c r="I74" s="20"/>
      <c r="J74" s="13">
        <f t="shared" si="1"/>
        <v>0.4534580875685123</v>
      </c>
    </row>
    <row r="75" spans="1:12" ht="13.5" thickBot="1">
      <c r="A75" s="19"/>
      <c r="B75" s="19"/>
      <c r="C75" s="30"/>
      <c r="D75" s="30"/>
      <c r="E75" s="26">
        <f>AVERAGE(E73:E74)</f>
        <v>0.45253737692433221</v>
      </c>
      <c r="F75" s="26">
        <f>AVERAGE(F73:F74)</f>
        <v>0.4447343741500297</v>
      </c>
      <c r="G75" s="26">
        <f>AVERAGE(G73:G74)</f>
        <v>0.46027882170885392</v>
      </c>
      <c r="H75" s="26">
        <f>AVERAGE(H73:H74)</f>
        <v>0.45206016636437552</v>
      </c>
      <c r="I75" s="27"/>
      <c r="J75" s="34">
        <f t="shared" si="1"/>
        <v>0.45240268478689782</v>
      </c>
      <c r="K75" s="14">
        <f>AVERAGE(J39,J75)</f>
        <v>0.43771122849701227</v>
      </c>
    </row>
    <row r="76" spans="1:12">
      <c r="A76" s="12"/>
      <c r="B76" s="12"/>
      <c r="C76" s="30"/>
      <c r="D76" s="31">
        <v>1</v>
      </c>
      <c r="E76" s="20">
        <v>0.45674002751031656</v>
      </c>
      <c r="F76" s="20">
        <v>0.46492063492063501</v>
      </c>
      <c r="G76" s="20">
        <v>0.46809309309309316</v>
      </c>
      <c r="H76" s="20">
        <v>0.45886075949367089</v>
      </c>
      <c r="I76" s="20"/>
      <c r="J76" s="13">
        <f>AVERAGE(F76:I76)</f>
        <v>0.4639581625024663</v>
      </c>
    </row>
    <row r="77" spans="1:12">
      <c r="A77" s="16"/>
      <c r="B77" s="16"/>
      <c r="C77" s="31" t="s">
        <v>88</v>
      </c>
      <c r="D77" s="31">
        <v>2</v>
      </c>
      <c r="E77" s="20">
        <v>0.46147403685092131</v>
      </c>
      <c r="F77" s="20">
        <v>0.45535455861070923</v>
      </c>
      <c r="G77" s="20">
        <v>0.43927068723702645</v>
      </c>
      <c r="H77" s="20">
        <v>0.45007320644216697</v>
      </c>
      <c r="I77" s="20"/>
      <c r="J77" s="13">
        <f>AVERAGE(F77:I77)</f>
        <v>0.44823281742996751</v>
      </c>
    </row>
    <row r="78" spans="1:12" ht="13.5" thickBot="1">
      <c r="A78" s="19"/>
      <c r="B78" s="19"/>
      <c r="C78" s="30"/>
      <c r="D78" s="30"/>
      <c r="E78" s="26">
        <f>AVERAGE(E76:E77)</f>
        <v>0.45910703218061893</v>
      </c>
      <c r="F78" s="26">
        <f>AVERAGE(F76:F77)</f>
        <v>0.46013759676567212</v>
      </c>
      <c r="G78" s="26">
        <f>AVERAGE(G76:G77)</f>
        <v>0.45368189016505978</v>
      </c>
      <c r="H78" s="26">
        <f>AVERAGE(H76:H77)</f>
        <v>0.45446698296791893</v>
      </c>
      <c r="I78" s="27"/>
      <c r="J78" s="34">
        <f t="shared" si="1"/>
        <v>0.45684837551981744</v>
      </c>
      <c r="K78" s="14">
        <f>AVERAGE(J42,J78)</f>
        <v>0.44029207544749116</v>
      </c>
    </row>
    <row r="79" spans="1:12" ht="15">
      <c r="K79" s="194"/>
      <c r="L79" s="207"/>
    </row>
    <row r="80" spans="1:12" ht="15">
      <c r="K80" s="199"/>
      <c r="L80" s="207"/>
    </row>
    <row r="81" spans="11:12" ht="15">
      <c r="K81" s="199"/>
      <c r="L81" s="207"/>
    </row>
    <row r="82" spans="11:12" ht="15">
      <c r="K82" s="199"/>
      <c r="L82" s="207"/>
    </row>
    <row r="83" spans="11:12" ht="15">
      <c r="K83" s="199"/>
      <c r="L83" s="207"/>
    </row>
    <row r="84" spans="11:12" ht="15">
      <c r="K84" s="197"/>
      <c r="L84" s="207"/>
    </row>
    <row r="85" spans="11:12" ht="15">
      <c r="K85" s="197"/>
      <c r="L85" s="207"/>
    </row>
    <row r="86" spans="11:12" ht="15">
      <c r="K86" s="197"/>
      <c r="L86" s="207"/>
    </row>
    <row r="87" spans="11:12" ht="15">
      <c r="K87" s="197"/>
      <c r="L87" s="207"/>
    </row>
    <row r="88" spans="11:12" ht="15">
      <c r="K88" s="197"/>
      <c r="L88" s="207"/>
    </row>
  </sheetData>
  <mergeCells count="6">
    <mergeCell ref="A47:A48"/>
    <mergeCell ref="B47:B48"/>
    <mergeCell ref="E47:I47"/>
    <mergeCell ref="A11:A12"/>
    <mergeCell ref="B11:B12"/>
    <mergeCell ref="E11:I11"/>
  </mergeCells>
  <pageMargins left="0.75" right="0.75" top="1" bottom="1" header="0.5" footer="0.5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>
      <selection activeCell="D10" sqref="D10"/>
    </sheetView>
  </sheetViews>
  <sheetFormatPr defaultRowHeight="12.75"/>
  <cols>
    <col min="1" max="1" width="12.140625" style="3" customWidth="1"/>
    <col min="2" max="3" width="9.140625" style="3"/>
    <col min="4" max="4" width="12.140625" style="3" customWidth="1"/>
    <col min="5" max="5" width="9.140625" style="3"/>
    <col min="6" max="6" width="7.5703125" style="3" customWidth="1"/>
    <col min="7" max="7" width="13.5703125" style="3" customWidth="1"/>
    <col min="8" max="8" width="11.28515625" style="3" customWidth="1"/>
    <col min="9" max="9" width="12" style="3" customWidth="1"/>
    <col min="10" max="11" width="10.7109375" style="3" customWidth="1"/>
    <col min="12" max="12" width="11" style="3" customWidth="1"/>
    <col min="13" max="13" width="12.7109375" style="3" customWidth="1"/>
    <col min="14" max="14" width="15.7109375" style="3" customWidth="1"/>
    <col min="15" max="15" width="17" style="3" customWidth="1"/>
    <col min="16" max="16" width="12.85546875" style="3" customWidth="1"/>
    <col min="17" max="17" width="15.28515625" style="3" customWidth="1"/>
    <col min="18" max="16384" width="9.140625" style="3"/>
  </cols>
  <sheetData>
    <row r="1" spans="1:17" s="168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7" s="35" customFormat="1">
      <c r="A2" s="163" t="s">
        <v>142</v>
      </c>
      <c r="D2" s="37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  <c r="P2" s="37"/>
    </row>
    <row r="3" spans="1:17" s="35" customFormat="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35" customFormat="1">
      <c r="D4" s="38"/>
      <c r="M4" s="38"/>
      <c r="N4" s="38"/>
      <c r="O4" s="38"/>
      <c r="P4" s="38"/>
    </row>
    <row r="5" spans="1:17" s="35" customFormat="1">
      <c r="A5" s="36" t="s">
        <v>144</v>
      </c>
      <c r="B5" s="39"/>
      <c r="C5" s="36" t="s">
        <v>145</v>
      </c>
      <c r="D5" s="37"/>
      <c r="F5" s="36" t="s">
        <v>147</v>
      </c>
      <c r="H5" s="39"/>
      <c r="L5" s="36"/>
      <c r="M5" s="38"/>
      <c r="N5" s="38"/>
      <c r="O5" s="38"/>
      <c r="P5" s="38"/>
    </row>
    <row r="6" spans="1:17" s="43" customFormat="1">
      <c r="A6" s="46"/>
      <c r="B6" s="47"/>
      <c r="C6" s="36" t="s">
        <v>354</v>
      </c>
      <c r="D6" s="48"/>
      <c r="E6" s="46"/>
      <c r="F6" s="46"/>
      <c r="G6" s="46"/>
      <c r="I6" s="46"/>
      <c r="K6" s="46"/>
      <c r="L6" s="47"/>
      <c r="M6" s="47"/>
    </row>
    <row r="7" spans="1:17" s="43" customFormat="1" ht="15.75">
      <c r="D7" s="128" t="s">
        <v>117</v>
      </c>
      <c r="E7" s="125"/>
      <c r="F7" s="633" t="s">
        <v>118</v>
      </c>
      <c r="G7" s="633"/>
      <c r="H7" s="126"/>
      <c r="I7" s="127"/>
      <c r="J7" s="127"/>
      <c r="K7" s="127"/>
      <c r="L7" s="127"/>
      <c r="M7" s="127"/>
      <c r="N7" s="127"/>
    </row>
    <row r="8" spans="1:17" s="168" customFormat="1" ht="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7" customFormat="1">
      <c r="A9" s="208">
        <v>42256</v>
      </c>
      <c r="B9" s="161"/>
      <c r="C9" s="209" t="s">
        <v>347</v>
      </c>
      <c r="D9" s="161"/>
      <c r="F9" s="161"/>
      <c r="Q9" s="161"/>
    </row>
    <row r="10" spans="1:17" customFormat="1" ht="49.5" customHeight="1">
      <c r="A10" s="160" t="s">
        <v>228</v>
      </c>
      <c r="B10" s="160" t="s">
        <v>229</v>
      </c>
      <c r="C10" s="160" t="s">
        <v>230</v>
      </c>
      <c r="D10" s="160" t="s">
        <v>232</v>
      </c>
      <c r="E10" s="160" t="s">
        <v>233</v>
      </c>
      <c r="F10" s="160" t="s">
        <v>234</v>
      </c>
      <c r="G10" s="160" t="s">
        <v>235</v>
      </c>
      <c r="H10" s="160" t="s">
        <v>236</v>
      </c>
      <c r="I10" s="160" t="s">
        <v>237</v>
      </c>
      <c r="J10" s="160" t="s">
        <v>238</v>
      </c>
      <c r="K10" s="160" t="s">
        <v>239</v>
      </c>
      <c r="L10" s="160" t="s">
        <v>240</v>
      </c>
      <c r="Q10" s="161"/>
    </row>
    <row r="11" spans="1:17" customFormat="1" ht="49.5" customHeight="1">
      <c r="A11" s="160" t="s">
        <v>13</v>
      </c>
      <c r="B11" s="160" t="s">
        <v>242</v>
      </c>
      <c r="C11" s="160" t="s">
        <v>243</v>
      </c>
      <c r="D11" s="210" t="s">
        <v>245</v>
      </c>
      <c r="E11" s="211" t="s">
        <v>246</v>
      </c>
      <c r="F11" s="211" t="s">
        <v>247</v>
      </c>
      <c r="G11" s="211" t="s">
        <v>248</v>
      </c>
      <c r="H11" s="211" t="s">
        <v>249</v>
      </c>
      <c r="I11" s="211" t="s">
        <v>250</v>
      </c>
      <c r="J11" s="211" t="s">
        <v>251</v>
      </c>
      <c r="K11" s="160" t="s">
        <v>252</v>
      </c>
      <c r="L11" s="160" t="s">
        <v>253</v>
      </c>
      <c r="P11" s="160" t="s">
        <v>353</v>
      </c>
      <c r="Q11" s="160" t="s">
        <v>240</v>
      </c>
    </row>
    <row r="12" spans="1:17" customFormat="1">
      <c r="A12" s="275">
        <v>42256</v>
      </c>
      <c r="B12" s="266">
        <v>1</v>
      </c>
      <c r="C12" s="213">
        <v>1</v>
      </c>
      <c r="D12" s="215" t="s">
        <v>256</v>
      </c>
      <c r="E12" s="215" t="s">
        <v>59</v>
      </c>
      <c r="F12" s="213">
        <v>99.1</v>
      </c>
      <c r="G12" s="213">
        <v>92.3</v>
      </c>
      <c r="H12" s="213">
        <v>23.6</v>
      </c>
      <c r="I12" s="213">
        <f t="shared" ref="I12:J27" si="0">F12-G12</f>
        <v>6.7999999999999972</v>
      </c>
      <c r="J12" s="213">
        <f t="shared" si="0"/>
        <v>68.699999999999989</v>
      </c>
      <c r="K12" s="216">
        <f>I12/J12</f>
        <v>9.8981077147015983E-2</v>
      </c>
      <c r="L12" s="217">
        <f>J12/50</f>
        <v>1.3739999999999997</v>
      </c>
      <c r="M12" s="24">
        <f>AVERAGE(L12:L14)</f>
        <v>1.4006666666666667</v>
      </c>
      <c r="P12" t="s">
        <v>59</v>
      </c>
      <c r="Q12" s="218">
        <v>1.4006666666666667</v>
      </c>
    </row>
    <row r="13" spans="1:17" customFormat="1">
      <c r="A13" s="159"/>
      <c r="B13" s="267">
        <v>2</v>
      </c>
      <c r="C13" s="220">
        <v>2</v>
      </c>
      <c r="D13" s="2" t="s">
        <v>261</v>
      </c>
      <c r="E13" s="2" t="s">
        <v>59</v>
      </c>
      <c r="F13" s="220">
        <v>95.4</v>
      </c>
      <c r="G13" s="220">
        <v>87.9</v>
      </c>
      <c r="H13" s="220">
        <v>21</v>
      </c>
      <c r="I13" s="220">
        <f t="shared" si="0"/>
        <v>7.5</v>
      </c>
      <c r="J13" s="220">
        <f t="shared" si="0"/>
        <v>66.900000000000006</v>
      </c>
      <c r="K13" s="221">
        <f t="shared" ref="K13:K56" si="1">I13/J13</f>
        <v>0.11210762331838564</v>
      </c>
      <c r="L13" s="268">
        <f t="shared" ref="L13:L56" si="2">J13/50</f>
        <v>1.3380000000000001</v>
      </c>
      <c r="P13" s="222" t="s">
        <v>348</v>
      </c>
      <c r="Q13" s="218">
        <v>1.4733333333333334</v>
      </c>
    </row>
    <row r="14" spans="1:17" customFormat="1">
      <c r="A14" s="159"/>
      <c r="B14" s="269">
        <v>3</v>
      </c>
      <c r="C14" s="248">
        <v>3</v>
      </c>
      <c r="D14" s="250" t="s">
        <v>265</v>
      </c>
      <c r="E14" s="250" t="s">
        <v>59</v>
      </c>
      <c r="F14" s="248">
        <v>104.2</v>
      </c>
      <c r="G14" s="248">
        <v>95.7</v>
      </c>
      <c r="H14" s="248">
        <v>21.2</v>
      </c>
      <c r="I14" s="248">
        <f t="shared" si="0"/>
        <v>8.5</v>
      </c>
      <c r="J14" s="248">
        <f t="shared" si="0"/>
        <v>74.5</v>
      </c>
      <c r="K14" s="258">
        <f t="shared" si="1"/>
        <v>0.11409395973154363</v>
      </c>
      <c r="L14" s="270">
        <f t="shared" si="2"/>
        <v>1.49</v>
      </c>
      <c r="P14" t="s">
        <v>60</v>
      </c>
      <c r="Q14" s="218">
        <v>1.5720000000000001</v>
      </c>
    </row>
    <row r="15" spans="1:17" customFormat="1">
      <c r="A15" s="159"/>
      <c r="B15" s="266">
        <v>1</v>
      </c>
      <c r="C15" s="213">
        <v>1</v>
      </c>
      <c r="D15" s="215" t="s">
        <v>269</v>
      </c>
      <c r="E15" s="215" t="s">
        <v>262</v>
      </c>
      <c r="F15" s="213">
        <v>103.9</v>
      </c>
      <c r="G15" s="213">
        <v>93.4</v>
      </c>
      <c r="H15" s="213">
        <v>20.8</v>
      </c>
      <c r="I15" s="213">
        <f t="shared" si="0"/>
        <v>10.5</v>
      </c>
      <c r="J15" s="213">
        <f t="shared" si="0"/>
        <v>72.600000000000009</v>
      </c>
      <c r="K15" s="216">
        <f t="shared" si="1"/>
        <v>0.14462809917355371</v>
      </c>
      <c r="L15" s="217">
        <f t="shared" si="2"/>
        <v>1.4520000000000002</v>
      </c>
      <c r="M15" s="24">
        <f>AVERAGE(L15:L17)</f>
        <v>1.4733333333333334</v>
      </c>
      <c r="P15" t="s">
        <v>61</v>
      </c>
      <c r="Q15" s="218">
        <v>1.704</v>
      </c>
    </row>
    <row r="16" spans="1:17" customFormat="1">
      <c r="A16" s="159"/>
      <c r="B16" s="267">
        <v>2</v>
      </c>
      <c r="C16" s="220">
        <v>2</v>
      </c>
      <c r="D16" s="2" t="s">
        <v>271</v>
      </c>
      <c r="E16" s="2" t="s">
        <v>262</v>
      </c>
      <c r="F16" s="220">
        <v>104</v>
      </c>
      <c r="G16" s="220">
        <v>93.3</v>
      </c>
      <c r="H16" s="220">
        <v>22</v>
      </c>
      <c r="I16" s="220">
        <f t="shared" si="0"/>
        <v>10.700000000000003</v>
      </c>
      <c r="J16" s="220">
        <f t="shared" si="0"/>
        <v>71.3</v>
      </c>
      <c r="K16" s="221">
        <f t="shared" si="1"/>
        <v>0.15007012622720903</v>
      </c>
      <c r="L16" s="268">
        <f t="shared" si="2"/>
        <v>1.4259999999999999</v>
      </c>
      <c r="P16" t="s">
        <v>62</v>
      </c>
      <c r="Q16" s="218">
        <v>1.5446666666666669</v>
      </c>
    </row>
    <row r="17" spans="1:17" customFormat="1">
      <c r="A17" s="159"/>
      <c r="B17" s="269">
        <v>3</v>
      </c>
      <c r="C17" s="248">
        <v>3</v>
      </c>
      <c r="D17" s="250" t="s">
        <v>274</v>
      </c>
      <c r="E17" s="250" t="s">
        <v>262</v>
      </c>
      <c r="F17" s="248">
        <v>109.8</v>
      </c>
      <c r="G17" s="248">
        <v>99.2</v>
      </c>
      <c r="H17" s="248">
        <v>22.1</v>
      </c>
      <c r="I17" s="248">
        <f t="shared" si="0"/>
        <v>10.599999999999994</v>
      </c>
      <c r="J17" s="248">
        <f t="shared" si="0"/>
        <v>77.099999999999994</v>
      </c>
      <c r="K17" s="258">
        <f t="shared" si="1"/>
        <v>0.13748378728923469</v>
      </c>
      <c r="L17" s="270">
        <f t="shared" si="2"/>
        <v>1.5419999999999998</v>
      </c>
      <c r="P17" t="s">
        <v>63</v>
      </c>
      <c r="Q17" s="218">
        <v>1.4306666666666665</v>
      </c>
    </row>
    <row r="18" spans="1:17" customFormat="1">
      <c r="A18" s="159"/>
      <c r="B18" s="266">
        <v>1</v>
      </c>
      <c r="C18" s="213">
        <v>1</v>
      </c>
      <c r="D18" s="215" t="s">
        <v>277</v>
      </c>
      <c r="E18" s="215" t="s">
        <v>60</v>
      </c>
      <c r="F18" s="213">
        <v>113.6</v>
      </c>
      <c r="G18" s="213">
        <v>101.1</v>
      </c>
      <c r="H18" s="213">
        <v>21.9</v>
      </c>
      <c r="I18" s="213">
        <f t="shared" si="0"/>
        <v>12.5</v>
      </c>
      <c r="J18" s="213">
        <f t="shared" si="0"/>
        <v>79.199999999999989</v>
      </c>
      <c r="K18" s="216">
        <f t="shared" si="1"/>
        <v>0.15782828282828285</v>
      </c>
      <c r="L18" s="217">
        <f t="shared" si="2"/>
        <v>1.5839999999999999</v>
      </c>
      <c r="M18" s="24">
        <f>AVERAGE(L18:L20)</f>
        <v>1.5720000000000001</v>
      </c>
      <c r="P18" t="s">
        <v>64</v>
      </c>
      <c r="Q18" s="218">
        <v>1.5126666666666668</v>
      </c>
    </row>
    <row r="19" spans="1:17" customFormat="1">
      <c r="A19" s="159"/>
      <c r="B19" s="267">
        <v>2</v>
      </c>
      <c r="C19" s="220">
        <v>2</v>
      </c>
      <c r="D19" s="2" t="s">
        <v>281</v>
      </c>
      <c r="E19" s="2" t="s">
        <v>60</v>
      </c>
      <c r="F19" s="220">
        <v>112.5</v>
      </c>
      <c r="G19" s="220">
        <v>95.6</v>
      </c>
      <c r="H19" s="220">
        <v>20.7</v>
      </c>
      <c r="I19" s="220">
        <f t="shared" si="0"/>
        <v>16.900000000000006</v>
      </c>
      <c r="J19" s="220">
        <f t="shared" si="0"/>
        <v>74.899999999999991</v>
      </c>
      <c r="K19" s="221">
        <f t="shared" si="1"/>
        <v>0.22563417890520704</v>
      </c>
      <c r="L19" s="268">
        <f t="shared" si="2"/>
        <v>1.4979999999999998</v>
      </c>
      <c r="P19" t="s">
        <v>65</v>
      </c>
      <c r="Q19" s="218">
        <v>1.4366666666666665</v>
      </c>
    </row>
    <row r="20" spans="1:17" customFormat="1">
      <c r="A20" s="159"/>
      <c r="B20" s="269">
        <v>3</v>
      </c>
      <c r="C20" s="248">
        <v>3</v>
      </c>
      <c r="D20" s="250" t="s">
        <v>284</v>
      </c>
      <c r="E20" s="250" t="s">
        <v>60</v>
      </c>
      <c r="F20" s="248">
        <v>117</v>
      </c>
      <c r="G20" s="248">
        <v>104</v>
      </c>
      <c r="H20" s="248">
        <v>22.3</v>
      </c>
      <c r="I20" s="248">
        <f t="shared" si="0"/>
        <v>13</v>
      </c>
      <c r="J20" s="248">
        <f t="shared" si="0"/>
        <v>81.7</v>
      </c>
      <c r="K20" s="258">
        <f t="shared" si="1"/>
        <v>0.15911872705018359</v>
      </c>
      <c r="L20" s="270">
        <f t="shared" si="2"/>
        <v>1.6340000000000001</v>
      </c>
      <c r="P20" t="s">
        <v>66</v>
      </c>
      <c r="Q20" s="218">
        <v>1.4373333333333334</v>
      </c>
    </row>
    <row r="21" spans="1:17" customFormat="1">
      <c r="A21" s="159"/>
      <c r="B21" s="266">
        <v>1</v>
      </c>
      <c r="C21" s="213">
        <v>1</v>
      </c>
      <c r="D21" s="215" t="s">
        <v>286</v>
      </c>
      <c r="E21" s="215" t="s">
        <v>61</v>
      </c>
      <c r="F21" s="213">
        <v>121.8</v>
      </c>
      <c r="G21" s="213">
        <v>109.9</v>
      </c>
      <c r="H21" s="213">
        <v>22.3</v>
      </c>
      <c r="I21" s="213">
        <f t="shared" si="0"/>
        <v>11.899999999999991</v>
      </c>
      <c r="J21" s="213">
        <f t="shared" si="0"/>
        <v>87.600000000000009</v>
      </c>
      <c r="K21" s="216">
        <f t="shared" si="1"/>
        <v>0.13584474885844738</v>
      </c>
      <c r="L21" s="217">
        <f t="shared" si="2"/>
        <v>1.7520000000000002</v>
      </c>
      <c r="M21" s="24">
        <f>AVERAGE(L21:L23)</f>
        <v>1.704</v>
      </c>
      <c r="P21" t="s">
        <v>67</v>
      </c>
      <c r="Q21" s="218">
        <v>1.516</v>
      </c>
    </row>
    <row r="22" spans="1:17" customFormat="1">
      <c r="A22" s="276">
        <v>42256</v>
      </c>
      <c r="B22" s="267">
        <v>2</v>
      </c>
      <c r="C22" s="220">
        <v>2</v>
      </c>
      <c r="D22" s="2" t="s">
        <v>288</v>
      </c>
      <c r="E22" s="2" t="s">
        <v>61</v>
      </c>
      <c r="F22" s="220">
        <v>119.5</v>
      </c>
      <c r="G22" s="220">
        <v>105.5</v>
      </c>
      <c r="H22" s="220">
        <v>22.4</v>
      </c>
      <c r="I22" s="220">
        <f t="shared" si="0"/>
        <v>14</v>
      </c>
      <c r="J22" s="220">
        <f t="shared" si="0"/>
        <v>83.1</v>
      </c>
      <c r="K22" s="221">
        <f t="shared" si="1"/>
        <v>0.16847172081829123</v>
      </c>
      <c r="L22" s="268">
        <f t="shared" si="2"/>
        <v>1.6619999999999999</v>
      </c>
      <c r="P22" t="s">
        <v>77</v>
      </c>
      <c r="Q22" s="218">
        <v>1.5620000000000001</v>
      </c>
    </row>
    <row r="23" spans="1:17" customFormat="1">
      <c r="A23" s="159"/>
      <c r="B23" s="269">
        <v>3</v>
      </c>
      <c r="C23" s="248">
        <v>3</v>
      </c>
      <c r="D23" s="250" t="s">
        <v>290</v>
      </c>
      <c r="E23" s="250" t="s">
        <v>61</v>
      </c>
      <c r="F23" s="248">
        <v>121.8</v>
      </c>
      <c r="G23" s="248">
        <v>107.5</v>
      </c>
      <c r="H23" s="248">
        <v>22.6</v>
      </c>
      <c r="I23" s="248">
        <f t="shared" si="0"/>
        <v>14.299999999999997</v>
      </c>
      <c r="J23" s="248">
        <f t="shared" si="0"/>
        <v>84.9</v>
      </c>
      <c r="K23" s="258">
        <f t="shared" si="1"/>
        <v>0.16843345111896343</v>
      </c>
      <c r="L23" s="270">
        <f t="shared" si="2"/>
        <v>1.6980000000000002</v>
      </c>
      <c r="P23" t="s">
        <v>349</v>
      </c>
      <c r="Q23" s="218">
        <v>1.5573333333333335</v>
      </c>
    </row>
    <row r="24" spans="1:17" customFormat="1">
      <c r="A24" s="159"/>
      <c r="B24" s="266">
        <v>1</v>
      </c>
      <c r="C24" s="213">
        <v>1</v>
      </c>
      <c r="D24" s="215" t="s">
        <v>292</v>
      </c>
      <c r="E24" s="213" t="s">
        <v>62</v>
      </c>
      <c r="F24" s="255">
        <v>120.2</v>
      </c>
      <c r="G24" s="255">
        <v>99.9</v>
      </c>
      <c r="H24" s="255">
        <v>21.6</v>
      </c>
      <c r="I24" s="255">
        <f t="shared" si="0"/>
        <v>20.299999999999997</v>
      </c>
      <c r="J24" s="255">
        <f t="shared" si="0"/>
        <v>78.300000000000011</v>
      </c>
      <c r="K24" s="216">
        <f t="shared" si="1"/>
        <v>0.25925925925925919</v>
      </c>
      <c r="L24" s="217">
        <f t="shared" si="2"/>
        <v>1.5660000000000003</v>
      </c>
      <c r="M24" s="24">
        <f>AVERAGE(L24:L26)</f>
        <v>1.5446666666666669</v>
      </c>
      <c r="P24" t="s">
        <v>350</v>
      </c>
      <c r="Q24" s="218">
        <v>1.5119999999999998</v>
      </c>
    </row>
    <row r="25" spans="1:17" customFormat="1">
      <c r="A25" s="159"/>
      <c r="B25" s="267">
        <v>2</v>
      </c>
      <c r="C25" s="220">
        <v>2</v>
      </c>
      <c r="D25" s="2" t="s">
        <v>273</v>
      </c>
      <c r="E25" s="220" t="s">
        <v>62</v>
      </c>
      <c r="F25" s="223">
        <v>120</v>
      </c>
      <c r="G25" s="223">
        <v>99</v>
      </c>
      <c r="H25" s="223">
        <v>22</v>
      </c>
      <c r="I25" s="223">
        <f t="shared" si="0"/>
        <v>21</v>
      </c>
      <c r="J25" s="223">
        <f t="shared" si="0"/>
        <v>77</v>
      </c>
      <c r="K25" s="221">
        <f t="shared" si="1"/>
        <v>0.27272727272727271</v>
      </c>
      <c r="L25" s="268">
        <f t="shared" si="2"/>
        <v>1.54</v>
      </c>
      <c r="P25" t="s">
        <v>351</v>
      </c>
      <c r="Q25" s="218">
        <v>1.494</v>
      </c>
    </row>
    <row r="26" spans="1:17" customFormat="1">
      <c r="A26" s="159"/>
      <c r="B26" s="269">
        <v>3</v>
      </c>
      <c r="C26" s="248">
        <v>3</v>
      </c>
      <c r="D26" s="250" t="s">
        <v>287</v>
      </c>
      <c r="E26" s="248" t="s">
        <v>62</v>
      </c>
      <c r="F26" s="251">
        <v>116</v>
      </c>
      <c r="G26" s="251">
        <v>96.7</v>
      </c>
      <c r="H26" s="251">
        <v>20.3</v>
      </c>
      <c r="I26" s="251">
        <f t="shared" si="0"/>
        <v>19.299999999999997</v>
      </c>
      <c r="J26" s="251">
        <f t="shared" si="0"/>
        <v>76.400000000000006</v>
      </c>
      <c r="K26" s="258">
        <f t="shared" si="1"/>
        <v>0.25261780104712034</v>
      </c>
      <c r="L26" s="270">
        <f t="shared" si="2"/>
        <v>1.528</v>
      </c>
      <c r="P26" t="s">
        <v>352</v>
      </c>
      <c r="Q26" s="218">
        <v>1.4866666666666666</v>
      </c>
    </row>
    <row r="27" spans="1:17" customFormat="1">
      <c r="A27" s="159"/>
      <c r="B27" s="266">
        <v>1</v>
      </c>
      <c r="C27" s="213">
        <v>1</v>
      </c>
      <c r="D27" s="215" t="s">
        <v>297</v>
      </c>
      <c r="E27" s="213" t="s">
        <v>63</v>
      </c>
      <c r="F27" s="255">
        <v>114.3</v>
      </c>
      <c r="G27" s="255">
        <v>94.6</v>
      </c>
      <c r="H27" s="255">
        <v>21.2</v>
      </c>
      <c r="I27" s="255">
        <f t="shared" si="0"/>
        <v>19.700000000000003</v>
      </c>
      <c r="J27" s="255">
        <f t="shared" si="0"/>
        <v>73.399999999999991</v>
      </c>
      <c r="K27" s="216">
        <f t="shared" si="1"/>
        <v>0.26839237057220716</v>
      </c>
      <c r="L27" s="217">
        <f t="shared" si="2"/>
        <v>1.4679999999999997</v>
      </c>
      <c r="M27" s="24">
        <f>AVERAGE(L27:L29)</f>
        <v>1.4306666666666665</v>
      </c>
      <c r="Q27" s="161"/>
    </row>
    <row r="28" spans="1:17" customFormat="1">
      <c r="A28" s="159"/>
      <c r="B28" s="267">
        <v>2</v>
      </c>
      <c r="C28" s="220">
        <v>2</v>
      </c>
      <c r="D28" s="2" t="s">
        <v>299</v>
      </c>
      <c r="E28" s="220" t="s">
        <v>63</v>
      </c>
      <c r="F28" s="223">
        <v>113.4</v>
      </c>
      <c r="G28" s="223">
        <v>94.7</v>
      </c>
      <c r="H28" s="223">
        <v>22.8</v>
      </c>
      <c r="I28" s="223">
        <f t="shared" ref="I28:J43" si="3">F28-G28</f>
        <v>18.700000000000003</v>
      </c>
      <c r="J28" s="223">
        <f t="shared" si="3"/>
        <v>71.900000000000006</v>
      </c>
      <c r="K28" s="221">
        <f t="shared" si="1"/>
        <v>0.26008344923504872</v>
      </c>
      <c r="L28" s="268">
        <f t="shared" si="2"/>
        <v>1.4380000000000002</v>
      </c>
      <c r="Q28" s="161"/>
    </row>
    <row r="29" spans="1:17" customFormat="1">
      <c r="A29" s="159"/>
      <c r="B29" s="269">
        <v>3</v>
      </c>
      <c r="C29" s="248">
        <v>3</v>
      </c>
      <c r="D29" s="250" t="s">
        <v>289</v>
      </c>
      <c r="E29" s="248" t="s">
        <v>63</v>
      </c>
      <c r="F29" s="251">
        <v>110.6</v>
      </c>
      <c r="G29" s="251">
        <v>92</v>
      </c>
      <c r="H29" s="251">
        <v>22.7</v>
      </c>
      <c r="I29" s="251">
        <f t="shared" si="3"/>
        <v>18.599999999999994</v>
      </c>
      <c r="J29" s="251">
        <f t="shared" si="3"/>
        <v>69.3</v>
      </c>
      <c r="K29" s="258">
        <f t="shared" si="1"/>
        <v>0.2683982683982683</v>
      </c>
      <c r="L29" s="270">
        <f t="shared" si="2"/>
        <v>1.3859999999999999</v>
      </c>
      <c r="Q29" s="161"/>
    </row>
    <row r="30" spans="1:17" customFormat="1">
      <c r="A30" s="159"/>
      <c r="B30" s="266">
        <v>1</v>
      </c>
      <c r="C30" s="213">
        <v>1</v>
      </c>
      <c r="D30" s="215" t="s">
        <v>302</v>
      </c>
      <c r="E30" s="213" t="s">
        <v>64</v>
      </c>
      <c r="F30" s="255">
        <v>119.4</v>
      </c>
      <c r="G30" s="255">
        <v>98.4</v>
      </c>
      <c r="H30" s="255">
        <v>21.9</v>
      </c>
      <c r="I30" s="255">
        <f t="shared" si="3"/>
        <v>21</v>
      </c>
      <c r="J30" s="255">
        <f t="shared" si="3"/>
        <v>76.5</v>
      </c>
      <c r="K30" s="216">
        <f t="shared" si="1"/>
        <v>0.27450980392156865</v>
      </c>
      <c r="L30" s="217">
        <f t="shared" si="2"/>
        <v>1.53</v>
      </c>
      <c r="M30" s="24">
        <f>AVERAGE(L30:L32)</f>
        <v>1.5126666666666668</v>
      </c>
      <c r="Q30" s="161"/>
    </row>
    <row r="31" spans="1:17" customFormat="1">
      <c r="A31" s="159"/>
      <c r="B31" s="267">
        <v>2</v>
      </c>
      <c r="C31" s="220">
        <v>2</v>
      </c>
      <c r="D31" s="2" t="s">
        <v>303</v>
      </c>
      <c r="E31" s="220" t="s">
        <v>64</v>
      </c>
      <c r="F31" s="223">
        <v>117.9</v>
      </c>
      <c r="G31" s="223">
        <v>96.6</v>
      </c>
      <c r="H31" s="223">
        <v>22</v>
      </c>
      <c r="I31" s="223">
        <f t="shared" si="3"/>
        <v>21.300000000000011</v>
      </c>
      <c r="J31" s="223">
        <f t="shared" si="3"/>
        <v>74.599999999999994</v>
      </c>
      <c r="K31" s="221">
        <f t="shared" si="1"/>
        <v>0.28552278820375354</v>
      </c>
      <c r="L31" s="268">
        <f t="shared" si="2"/>
        <v>1.492</v>
      </c>
      <c r="Q31" s="161"/>
    </row>
    <row r="32" spans="1:17" customFormat="1">
      <c r="A32" s="276">
        <v>42256</v>
      </c>
      <c r="B32" s="269">
        <v>3</v>
      </c>
      <c r="C32" s="248">
        <v>3</v>
      </c>
      <c r="D32" s="250" t="s">
        <v>305</v>
      </c>
      <c r="E32" s="248" t="s">
        <v>64</v>
      </c>
      <c r="F32" s="251">
        <v>116.4</v>
      </c>
      <c r="G32" s="251">
        <v>95.8</v>
      </c>
      <c r="H32" s="251">
        <v>20</v>
      </c>
      <c r="I32" s="251">
        <f>F32-G32</f>
        <v>20.600000000000009</v>
      </c>
      <c r="J32" s="251">
        <f t="shared" si="3"/>
        <v>75.8</v>
      </c>
      <c r="K32" s="258">
        <f t="shared" si="1"/>
        <v>0.27176781002638534</v>
      </c>
      <c r="L32" s="270">
        <f t="shared" si="2"/>
        <v>1.516</v>
      </c>
      <c r="Q32" s="161"/>
    </row>
    <row r="33" spans="1:17" customFormat="1">
      <c r="A33" s="159"/>
      <c r="B33" s="266">
        <v>1</v>
      </c>
      <c r="C33" s="213">
        <v>1</v>
      </c>
      <c r="D33" s="215" t="s">
        <v>306</v>
      </c>
      <c r="E33" s="213" t="s">
        <v>65</v>
      </c>
      <c r="F33" s="255">
        <v>103.3</v>
      </c>
      <c r="G33" s="255">
        <v>92.2</v>
      </c>
      <c r="H33" s="255">
        <v>20.100000000000001</v>
      </c>
      <c r="I33" s="255">
        <f t="shared" ref="I33:J56" si="4">F33-G33</f>
        <v>11.099999999999994</v>
      </c>
      <c r="J33" s="255">
        <f t="shared" si="3"/>
        <v>72.099999999999994</v>
      </c>
      <c r="K33" s="216">
        <f t="shared" si="1"/>
        <v>0.15395284327323155</v>
      </c>
      <c r="L33" s="217">
        <f t="shared" si="2"/>
        <v>1.4419999999999999</v>
      </c>
      <c r="M33" s="24">
        <f>AVERAGE(L33:L35)</f>
        <v>1.4366666666666665</v>
      </c>
      <c r="Q33" s="161"/>
    </row>
    <row r="34" spans="1:17" customFormat="1">
      <c r="A34" s="159"/>
      <c r="B34" s="267">
        <v>2</v>
      </c>
      <c r="C34" s="220">
        <v>2</v>
      </c>
      <c r="D34" s="2" t="s">
        <v>283</v>
      </c>
      <c r="E34" s="220" t="s">
        <v>65</v>
      </c>
      <c r="F34" s="223">
        <v>103.2</v>
      </c>
      <c r="G34" s="223">
        <v>92.4</v>
      </c>
      <c r="H34" s="223">
        <v>22.1</v>
      </c>
      <c r="I34" s="223">
        <f t="shared" si="4"/>
        <v>10.799999999999997</v>
      </c>
      <c r="J34" s="223">
        <f t="shared" si="3"/>
        <v>70.300000000000011</v>
      </c>
      <c r="K34" s="221">
        <f t="shared" si="1"/>
        <v>0.15362731152204831</v>
      </c>
      <c r="L34" s="268">
        <f t="shared" si="2"/>
        <v>1.4060000000000001</v>
      </c>
      <c r="Q34" s="161"/>
    </row>
    <row r="35" spans="1:17" customFormat="1">
      <c r="A35" s="159"/>
      <c r="B35" s="267">
        <v>3</v>
      </c>
      <c r="C35" s="220">
        <v>3</v>
      </c>
      <c r="D35" s="2" t="s">
        <v>309</v>
      </c>
      <c r="E35" s="220" t="s">
        <v>65</v>
      </c>
      <c r="F35" s="223">
        <v>103.9</v>
      </c>
      <c r="G35" s="223">
        <v>94.7</v>
      </c>
      <c r="H35" s="223">
        <v>21.6</v>
      </c>
      <c r="I35" s="223">
        <f t="shared" si="4"/>
        <v>9.2000000000000028</v>
      </c>
      <c r="J35" s="223">
        <f t="shared" si="3"/>
        <v>73.099999999999994</v>
      </c>
      <c r="K35" s="221">
        <f t="shared" si="1"/>
        <v>0.12585499316005477</v>
      </c>
      <c r="L35" s="268">
        <f t="shared" si="2"/>
        <v>1.462</v>
      </c>
      <c r="Q35" s="161"/>
    </row>
    <row r="36" spans="1:17" customFormat="1">
      <c r="A36" s="159"/>
      <c r="B36" s="266">
        <v>1</v>
      </c>
      <c r="C36" s="213">
        <v>1</v>
      </c>
      <c r="D36" s="215" t="s">
        <v>311</v>
      </c>
      <c r="E36" s="213" t="s">
        <v>66</v>
      </c>
      <c r="F36" s="255">
        <v>108.6</v>
      </c>
      <c r="G36" s="255">
        <v>94.7</v>
      </c>
      <c r="H36" s="255">
        <v>21.6</v>
      </c>
      <c r="I36" s="255">
        <f t="shared" si="4"/>
        <v>13.899999999999991</v>
      </c>
      <c r="J36" s="255">
        <f t="shared" si="3"/>
        <v>73.099999999999994</v>
      </c>
      <c r="K36" s="216">
        <f t="shared" si="1"/>
        <v>0.19015047879616953</v>
      </c>
      <c r="L36" s="217">
        <f t="shared" si="2"/>
        <v>1.462</v>
      </c>
      <c r="M36" s="271">
        <f>AVERAGE(L36:L38)</f>
        <v>1.4373333333333334</v>
      </c>
      <c r="Q36" s="161"/>
    </row>
    <row r="37" spans="1:17" customFormat="1">
      <c r="A37" s="159"/>
      <c r="B37" s="267">
        <v>2</v>
      </c>
      <c r="C37" s="220">
        <v>2</v>
      </c>
      <c r="D37" s="2" t="s">
        <v>294</v>
      </c>
      <c r="E37" s="220" t="s">
        <v>66</v>
      </c>
      <c r="F37" s="223">
        <v>105.7</v>
      </c>
      <c r="G37" s="223">
        <v>92.6</v>
      </c>
      <c r="H37" s="223">
        <v>22.2</v>
      </c>
      <c r="I37" s="223">
        <f t="shared" si="4"/>
        <v>13.100000000000009</v>
      </c>
      <c r="J37" s="223">
        <f t="shared" si="3"/>
        <v>70.399999999999991</v>
      </c>
      <c r="K37" s="221">
        <f t="shared" si="1"/>
        <v>0.18607954545454561</v>
      </c>
      <c r="L37" s="268">
        <f t="shared" si="2"/>
        <v>1.4079999999999999</v>
      </c>
      <c r="M37" s="272"/>
      <c r="Q37" s="161"/>
    </row>
    <row r="38" spans="1:17" customFormat="1">
      <c r="A38" s="159"/>
      <c r="B38" s="267">
        <v>3</v>
      </c>
      <c r="C38" s="220">
        <v>3</v>
      </c>
      <c r="D38" s="2" t="s">
        <v>313</v>
      </c>
      <c r="E38" s="220" t="s">
        <v>66</v>
      </c>
      <c r="F38" s="223">
        <v>108.8</v>
      </c>
      <c r="G38" s="223">
        <v>95.8</v>
      </c>
      <c r="H38" s="223">
        <v>23.7</v>
      </c>
      <c r="I38" s="223">
        <f t="shared" si="4"/>
        <v>13</v>
      </c>
      <c r="J38" s="223">
        <f t="shared" si="3"/>
        <v>72.099999999999994</v>
      </c>
      <c r="K38" s="221">
        <f t="shared" si="1"/>
        <v>0.18030513176144244</v>
      </c>
      <c r="L38" s="268">
        <f t="shared" si="2"/>
        <v>1.4419999999999999</v>
      </c>
      <c r="M38" s="272"/>
      <c r="Q38" s="161"/>
    </row>
    <row r="39" spans="1:17" customFormat="1">
      <c r="A39" s="159"/>
      <c r="B39" s="266">
        <v>1</v>
      </c>
      <c r="C39" s="213">
        <v>1</v>
      </c>
      <c r="D39" s="215" t="s">
        <v>315</v>
      </c>
      <c r="E39" s="213" t="s">
        <v>67</v>
      </c>
      <c r="F39" s="255">
        <v>117.8</v>
      </c>
      <c r="G39" s="255">
        <v>96.5</v>
      </c>
      <c r="H39" s="255">
        <v>19.899999999999999</v>
      </c>
      <c r="I39" s="255">
        <f t="shared" si="4"/>
        <v>21.299999999999997</v>
      </c>
      <c r="J39" s="255">
        <f t="shared" si="3"/>
        <v>76.599999999999994</v>
      </c>
      <c r="K39" s="216">
        <f t="shared" si="1"/>
        <v>0.27806788511749347</v>
      </c>
      <c r="L39" s="217">
        <f t="shared" si="2"/>
        <v>1.5319999999999998</v>
      </c>
      <c r="M39" s="271">
        <f>AVERAGE(L39:L41)</f>
        <v>1.516</v>
      </c>
      <c r="Q39" s="161"/>
    </row>
    <row r="40" spans="1:17" customFormat="1">
      <c r="A40" s="159"/>
      <c r="B40" s="267">
        <v>2</v>
      </c>
      <c r="C40" s="220">
        <v>2</v>
      </c>
      <c r="D40" s="2" t="s">
        <v>317</v>
      </c>
      <c r="E40" s="220" t="s">
        <v>67</v>
      </c>
      <c r="F40" s="223">
        <v>119.8</v>
      </c>
      <c r="G40" s="223">
        <v>98.2</v>
      </c>
      <c r="H40" s="223">
        <v>21.6</v>
      </c>
      <c r="I40" s="223">
        <f t="shared" si="4"/>
        <v>21.599999999999994</v>
      </c>
      <c r="J40" s="223">
        <f t="shared" si="3"/>
        <v>76.599999999999994</v>
      </c>
      <c r="K40" s="221">
        <f t="shared" si="1"/>
        <v>0.28198433420365532</v>
      </c>
      <c r="L40" s="268">
        <f t="shared" si="2"/>
        <v>1.5319999999999998</v>
      </c>
      <c r="M40" s="272"/>
      <c r="Q40" s="161"/>
    </row>
    <row r="41" spans="1:17" customFormat="1">
      <c r="A41" s="159"/>
      <c r="B41" s="269">
        <v>3</v>
      </c>
      <c r="C41" s="248">
        <v>3</v>
      </c>
      <c r="D41" s="250" t="s">
        <v>318</v>
      </c>
      <c r="E41" s="248" t="s">
        <v>67</v>
      </c>
      <c r="F41" s="251">
        <v>117.4</v>
      </c>
      <c r="G41" s="251">
        <v>96.4</v>
      </c>
      <c r="H41" s="251">
        <v>22.2</v>
      </c>
      <c r="I41" s="251">
        <f t="shared" si="4"/>
        <v>21</v>
      </c>
      <c r="J41" s="251">
        <f t="shared" si="3"/>
        <v>74.2</v>
      </c>
      <c r="K41" s="258">
        <f t="shared" si="1"/>
        <v>0.28301886792452829</v>
      </c>
      <c r="L41" s="270">
        <f t="shared" si="2"/>
        <v>1.484</v>
      </c>
      <c r="M41" s="274"/>
      <c r="Q41" s="161"/>
    </row>
    <row r="42" spans="1:17" customFormat="1">
      <c r="A42" s="276">
        <v>42256</v>
      </c>
      <c r="B42" s="267">
        <v>1</v>
      </c>
      <c r="C42" s="220">
        <v>1</v>
      </c>
      <c r="D42" s="2" t="s">
        <v>320</v>
      </c>
      <c r="E42" s="220" t="s">
        <v>77</v>
      </c>
      <c r="F42" s="223">
        <v>123.7</v>
      </c>
      <c r="G42" s="223">
        <v>102</v>
      </c>
      <c r="H42" s="223">
        <v>23</v>
      </c>
      <c r="I42" s="223">
        <f t="shared" si="4"/>
        <v>21.700000000000003</v>
      </c>
      <c r="J42" s="223">
        <f t="shared" si="3"/>
        <v>79</v>
      </c>
      <c r="K42" s="221">
        <f t="shared" si="1"/>
        <v>0.27468354430379749</v>
      </c>
      <c r="L42" s="268">
        <f t="shared" si="2"/>
        <v>1.58</v>
      </c>
      <c r="M42" s="273">
        <f>AVERAGE(L42:L44)</f>
        <v>1.5620000000000001</v>
      </c>
      <c r="Q42" s="161"/>
    </row>
    <row r="43" spans="1:17" customFormat="1">
      <c r="A43" s="159"/>
      <c r="B43" s="267">
        <v>2</v>
      </c>
      <c r="C43" s="220">
        <v>2</v>
      </c>
      <c r="D43" s="2" t="s">
        <v>323</v>
      </c>
      <c r="E43" s="220" t="s">
        <v>77</v>
      </c>
      <c r="F43" s="223">
        <v>120.6</v>
      </c>
      <c r="G43" s="223">
        <v>98.8</v>
      </c>
      <c r="H43" s="223">
        <v>20.6</v>
      </c>
      <c r="I43" s="223">
        <f t="shared" si="4"/>
        <v>21.799999999999997</v>
      </c>
      <c r="J43" s="223">
        <f t="shared" si="3"/>
        <v>78.199999999999989</v>
      </c>
      <c r="K43" s="221">
        <f t="shared" si="1"/>
        <v>0.27877237851662406</v>
      </c>
      <c r="L43" s="268">
        <f t="shared" si="2"/>
        <v>1.5639999999999998</v>
      </c>
      <c r="M43" s="272"/>
      <c r="Q43" s="161"/>
    </row>
    <row r="44" spans="1:17" customFormat="1">
      <c r="A44" s="159"/>
      <c r="B44" s="269">
        <v>3</v>
      </c>
      <c r="C44" s="248">
        <v>3</v>
      </c>
      <c r="D44" s="250" t="s">
        <v>324</v>
      </c>
      <c r="E44" s="248" t="s">
        <v>77</v>
      </c>
      <c r="F44" s="251">
        <v>120.5</v>
      </c>
      <c r="G44" s="251">
        <v>99</v>
      </c>
      <c r="H44" s="251">
        <v>21.9</v>
      </c>
      <c r="I44" s="251">
        <f t="shared" si="4"/>
        <v>21.5</v>
      </c>
      <c r="J44" s="251">
        <f t="shared" si="4"/>
        <v>77.099999999999994</v>
      </c>
      <c r="K44" s="258">
        <f t="shared" si="1"/>
        <v>0.27885862516212712</v>
      </c>
      <c r="L44" s="270">
        <f t="shared" si="2"/>
        <v>1.5419999999999998</v>
      </c>
      <c r="M44" s="274"/>
      <c r="Q44" s="161"/>
    </row>
    <row r="45" spans="1:17" customFormat="1">
      <c r="A45" s="159"/>
      <c r="B45" s="266">
        <v>1</v>
      </c>
      <c r="C45" s="213">
        <v>1</v>
      </c>
      <c r="D45" s="215" t="s">
        <v>264</v>
      </c>
      <c r="E45" s="215" t="s">
        <v>349</v>
      </c>
      <c r="F45" s="255">
        <v>121</v>
      </c>
      <c r="G45" s="255">
        <v>99.3</v>
      </c>
      <c r="H45" s="255">
        <v>21.4</v>
      </c>
      <c r="I45" s="255">
        <f t="shared" si="4"/>
        <v>21.700000000000003</v>
      </c>
      <c r="J45" s="255">
        <f t="shared" si="4"/>
        <v>77.900000000000006</v>
      </c>
      <c r="K45" s="216">
        <f t="shared" si="1"/>
        <v>0.27856225930680362</v>
      </c>
      <c r="L45" s="217">
        <f t="shared" si="2"/>
        <v>1.5580000000000001</v>
      </c>
      <c r="M45" s="271">
        <f>AVERAGE(L45:L47)</f>
        <v>1.5573333333333335</v>
      </c>
      <c r="Q45" s="161"/>
    </row>
    <row r="46" spans="1:17" customFormat="1">
      <c r="A46" s="159"/>
      <c r="B46" s="267">
        <v>2</v>
      </c>
      <c r="C46" s="220">
        <v>2</v>
      </c>
      <c r="D46" s="2" t="s">
        <v>301</v>
      </c>
      <c r="E46" s="2" t="s">
        <v>349</v>
      </c>
      <c r="F46" s="223">
        <v>121.5</v>
      </c>
      <c r="G46" s="223">
        <v>99.9</v>
      </c>
      <c r="H46" s="223">
        <v>22.6</v>
      </c>
      <c r="I46" s="223">
        <f t="shared" si="4"/>
        <v>21.599999999999994</v>
      </c>
      <c r="J46" s="223">
        <f t="shared" si="4"/>
        <v>77.300000000000011</v>
      </c>
      <c r="K46" s="221">
        <f t="shared" si="1"/>
        <v>0.27943078913324698</v>
      </c>
      <c r="L46" s="268">
        <f t="shared" si="2"/>
        <v>1.5460000000000003</v>
      </c>
      <c r="M46" s="272"/>
      <c r="Q46" s="161"/>
    </row>
    <row r="47" spans="1:17" customFormat="1">
      <c r="A47" s="159"/>
      <c r="B47" s="267">
        <v>3</v>
      </c>
      <c r="C47" s="220">
        <v>3</v>
      </c>
      <c r="D47" s="2" t="s">
        <v>328</v>
      </c>
      <c r="E47" s="2" t="s">
        <v>349</v>
      </c>
      <c r="F47" s="223">
        <v>121.6</v>
      </c>
      <c r="G47" s="223">
        <v>99.5</v>
      </c>
      <c r="H47" s="223">
        <v>21.1</v>
      </c>
      <c r="I47" s="223">
        <f t="shared" si="4"/>
        <v>22.099999999999994</v>
      </c>
      <c r="J47" s="223">
        <f t="shared" si="4"/>
        <v>78.400000000000006</v>
      </c>
      <c r="K47" s="221">
        <f t="shared" si="1"/>
        <v>0.28188775510204073</v>
      </c>
      <c r="L47" s="268">
        <f t="shared" si="2"/>
        <v>1.5680000000000001</v>
      </c>
      <c r="M47" s="272"/>
      <c r="Q47" s="161"/>
    </row>
    <row r="48" spans="1:17" customFormat="1">
      <c r="A48" s="159"/>
      <c r="B48" s="266">
        <v>1</v>
      </c>
      <c r="C48" s="213">
        <v>1</v>
      </c>
      <c r="D48" s="215" t="s">
        <v>329</v>
      </c>
      <c r="E48" s="215" t="s">
        <v>350</v>
      </c>
      <c r="F48" s="255">
        <v>121.5</v>
      </c>
      <c r="G48" s="255">
        <v>92.6</v>
      </c>
      <c r="H48" s="255">
        <v>22.3</v>
      </c>
      <c r="I48" s="255">
        <f t="shared" si="4"/>
        <v>28.900000000000006</v>
      </c>
      <c r="J48" s="255">
        <f t="shared" si="4"/>
        <v>70.3</v>
      </c>
      <c r="K48" s="216">
        <f t="shared" si="1"/>
        <v>0.41109530583214804</v>
      </c>
      <c r="L48" s="217">
        <f t="shared" si="2"/>
        <v>1.4059999999999999</v>
      </c>
      <c r="M48" s="271">
        <f>AVERAGE(L48:L50)</f>
        <v>1.5119999999999998</v>
      </c>
      <c r="Q48" s="161"/>
    </row>
    <row r="49" spans="1:17" customFormat="1">
      <c r="A49" s="159"/>
      <c r="B49" s="267">
        <v>2</v>
      </c>
      <c r="C49" s="220">
        <v>2</v>
      </c>
      <c r="D49" s="2" t="s">
        <v>316</v>
      </c>
      <c r="E49" s="2" t="s">
        <v>350</v>
      </c>
      <c r="F49" s="223">
        <v>121.7</v>
      </c>
      <c r="G49" s="223">
        <v>100.1</v>
      </c>
      <c r="H49" s="223">
        <v>22.2</v>
      </c>
      <c r="I49" s="223">
        <f t="shared" si="4"/>
        <v>21.600000000000009</v>
      </c>
      <c r="J49" s="223">
        <f t="shared" si="4"/>
        <v>77.899999999999991</v>
      </c>
      <c r="K49" s="221">
        <f t="shared" si="1"/>
        <v>0.27727856225930697</v>
      </c>
      <c r="L49" s="268">
        <f t="shared" si="2"/>
        <v>1.5579999999999998</v>
      </c>
      <c r="M49" s="272"/>
      <c r="Q49" s="161"/>
    </row>
    <row r="50" spans="1:17" customFormat="1">
      <c r="A50" s="159"/>
      <c r="B50" s="269">
        <v>3</v>
      </c>
      <c r="C50" s="248">
        <v>3</v>
      </c>
      <c r="D50" s="250" t="s">
        <v>314</v>
      </c>
      <c r="E50" s="250" t="s">
        <v>350</v>
      </c>
      <c r="F50" s="251">
        <v>122.3</v>
      </c>
      <c r="G50" s="251">
        <v>101.2</v>
      </c>
      <c r="H50" s="251">
        <v>22.6</v>
      </c>
      <c r="I50" s="251">
        <f t="shared" si="4"/>
        <v>21.099999999999994</v>
      </c>
      <c r="J50" s="251">
        <f t="shared" si="4"/>
        <v>78.599999999999994</v>
      </c>
      <c r="K50" s="258">
        <f t="shared" si="1"/>
        <v>0.26844783715012716</v>
      </c>
      <c r="L50" s="270">
        <f t="shared" si="2"/>
        <v>1.5719999999999998</v>
      </c>
      <c r="M50" s="274"/>
      <c r="Q50" s="161"/>
    </row>
    <row r="51" spans="1:17" customFormat="1">
      <c r="A51" s="159"/>
      <c r="B51" s="266">
        <v>1</v>
      </c>
      <c r="C51" s="213">
        <v>1</v>
      </c>
      <c r="D51" s="215" t="s">
        <v>260</v>
      </c>
      <c r="E51" s="213" t="s">
        <v>351</v>
      </c>
      <c r="F51" s="255">
        <v>119.1</v>
      </c>
      <c r="G51" s="255">
        <v>96.6</v>
      </c>
      <c r="H51" s="255">
        <v>23.5</v>
      </c>
      <c r="I51" s="255">
        <f t="shared" si="4"/>
        <v>22.5</v>
      </c>
      <c r="J51" s="255">
        <f t="shared" si="4"/>
        <v>73.099999999999994</v>
      </c>
      <c r="K51" s="216">
        <f t="shared" si="1"/>
        <v>0.30779753761969908</v>
      </c>
      <c r="L51" s="217">
        <f t="shared" si="2"/>
        <v>1.462</v>
      </c>
      <c r="M51" s="271">
        <f>AVERAGE(L51:L53)</f>
        <v>1.494</v>
      </c>
      <c r="Q51" s="161"/>
    </row>
    <row r="52" spans="1:17" customFormat="1">
      <c r="A52" s="276">
        <v>42256</v>
      </c>
      <c r="B52" s="267">
        <v>2</v>
      </c>
      <c r="C52" s="220">
        <v>2</v>
      </c>
      <c r="D52" s="2" t="s">
        <v>331</v>
      </c>
      <c r="E52" s="220" t="s">
        <v>351</v>
      </c>
      <c r="F52" s="223">
        <v>123.5</v>
      </c>
      <c r="G52" s="223">
        <v>100.1</v>
      </c>
      <c r="H52" s="223">
        <v>24.1</v>
      </c>
      <c r="I52" s="223">
        <f t="shared" si="4"/>
        <v>23.400000000000006</v>
      </c>
      <c r="J52" s="223">
        <f t="shared" si="4"/>
        <v>76</v>
      </c>
      <c r="K52" s="221">
        <f t="shared" si="1"/>
        <v>0.30789473684210533</v>
      </c>
      <c r="L52" s="268">
        <f t="shared" si="2"/>
        <v>1.52</v>
      </c>
      <c r="M52" s="272"/>
      <c r="Q52" s="161"/>
    </row>
    <row r="53" spans="1:17" customFormat="1">
      <c r="A53" s="159"/>
      <c r="B53" s="269">
        <v>3</v>
      </c>
      <c r="C53" s="248">
        <v>3</v>
      </c>
      <c r="D53" s="250" t="s">
        <v>268</v>
      </c>
      <c r="E53" s="248" t="s">
        <v>351</v>
      </c>
      <c r="F53" s="251">
        <v>119.3</v>
      </c>
      <c r="G53" s="251">
        <v>97.2</v>
      </c>
      <c r="H53" s="251">
        <v>22.2</v>
      </c>
      <c r="I53" s="251">
        <f t="shared" si="4"/>
        <v>22.099999999999994</v>
      </c>
      <c r="J53" s="251">
        <f t="shared" si="4"/>
        <v>75</v>
      </c>
      <c r="K53" s="258">
        <f t="shared" si="1"/>
        <v>0.29466666666666658</v>
      </c>
      <c r="L53" s="270">
        <f t="shared" si="2"/>
        <v>1.5</v>
      </c>
      <c r="M53" s="274"/>
      <c r="Q53" s="161"/>
    </row>
    <row r="54" spans="1:17" customFormat="1">
      <c r="A54" s="159"/>
      <c r="B54" s="267">
        <v>1</v>
      </c>
      <c r="C54" s="220">
        <v>1</v>
      </c>
      <c r="D54" s="2" t="s">
        <v>334</v>
      </c>
      <c r="E54" s="220" t="s">
        <v>352</v>
      </c>
      <c r="F54" s="223">
        <v>120.4</v>
      </c>
      <c r="G54" s="223">
        <v>96.5</v>
      </c>
      <c r="H54" s="223">
        <v>21.9</v>
      </c>
      <c r="I54" s="223">
        <f t="shared" si="4"/>
        <v>23.900000000000006</v>
      </c>
      <c r="J54" s="223">
        <f t="shared" si="4"/>
        <v>74.599999999999994</v>
      </c>
      <c r="K54" s="221">
        <f t="shared" si="1"/>
        <v>0.32037533512064353</v>
      </c>
      <c r="L54" s="268">
        <f t="shared" si="2"/>
        <v>1.492</v>
      </c>
      <c r="M54" s="273">
        <f>AVERAGE(L54:L56)</f>
        <v>1.4866666666666666</v>
      </c>
      <c r="Q54" s="161"/>
    </row>
    <row r="55" spans="1:17" customFormat="1">
      <c r="A55" s="159"/>
      <c r="B55" s="267">
        <v>2</v>
      </c>
      <c r="C55" s="220">
        <v>2</v>
      </c>
      <c r="D55" s="2" t="s">
        <v>308</v>
      </c>
      <c r="E55" s="220" t="s">
        <v>352</v>
      </c>
      <c r="F55" s="223">
        <v>118.7</v>
      </c>
      <c r="G55" s="223">
        <v>95.2</v>
      </c>
      <c r="H55" s="223">
        <v>21.7</v>
      </c>
      <c r="I55" s="223">
        <f t="shared" si="4"/>
        <v>23.5</v>
      </c>
      <c r="J55" s="223">
        <f t="shared" si="4"/>
        <v>73.5</v>
      </c>
      <c r="K55" s="221">
        <f t="shared" si="1"/>
        <v>0.31972789115646261</v>
      </c>
      <c r="L55" s="268">
        <f t="shared" si="2"/>
        <v>1.47</v>
      </c>
      <c r="M55" s="272"/>
      <c r="Q55" s="161"/>
    </row>
    <row r="56" spans="1:17" customFormat="1">
      <c r="A56" s="33"/>
      <c r="B56" s="269">
        <v>3</v>
      </c>
      <c r="C56" s="248">
        <v>3</v>
      </c>
      <c r="D56" s="250" t="s">
        <v>296</v>
      </c>
      <c r="E56" s="248" t="s">
        <v>352</v>
      </c>
      <c r="F56" s="251">
        <v>120.4</v>
      </c>
      <c r="G56" s="251">
        <v>97.4</v>
      </c>
      <c r="H56" s="251">
        <v>22.5</v>
      </c>
      <c r="I56" s="251">
        <f t="shared" si="4"/>
        <v>23</v>
      </c>
      <c r="J56" s="251">
        <f t="shared" si="4"/>
        <v>74.900000000000006</v>
      </c>
      <c r="K56" s="258">
        <f t="shared" si="1"/>
        <v>0.3070761014686248</v>
      </c>
      <c r="L56" s="270">
        <f t="shared" si="2"/>
        <v>1.4980000000000002</v>
      </c>
      <c r="M56" s="274"/>
      <c r="Q56" s="161"/>
    </row>
    <row r="57" spans="1:17">
      <c r="B57" s="220"/>
      <c r="C57" s="220"/>
    </row>
    <row r="58" spans="1:17">
      <c r="B58" s="220"/>
      <c r="C58" s="220"/>
    </row>
    <row r="59" spans="1:17">
      <c r="B59" s="220"/>
      <c r="C59" s="220"/>
    </row>
  </sheetData>
  <mergeCells count="1">
    <mergeCell ref="F7:G7"/>
  </mergeCells>
  <phoneticPr fontId="15" type="noConversion"/>
  <pageMargins left="0.23622047244094491" right="0.2362204724409449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8"/>
  <sheetViews>
    <sheetView topLeftCell="C7" workbookViewId="0">
      <selection activeCell="G4" sqref="G4"/>
    </sheetView>
  </sheetViews>
  <sheetFormatPr defaultRowHeight="12.75"/>
  <cols>
    <col min="1" max="1" width="12.140625" style="43" customWidth="1"/>
    <col min="2" max="3" width="9.140625" style="43"/>
    <col min="4" max="4" width="12.140625" style="43" customWidth="1"/>
    <col min="5" max="5" width="9.140625" style="43"/>
    <col min="6" max="6" width="7.5703125" style="43" customWidth="1"/>
    <col min="7" max="7" width="13.5703125" style="43" customWidth="1"/>
    <col min="8" max="8" width="11.28515625" style="43" customWidth="1"/>
    <col min="9" max="9" width="12" style="43" customWidth="1"/>
    <col min="10" max="11" width="10.7109375" style="43" customWidth="1"/>
    <col min="12" max="12" width="11" style="43" customWidth="1"/>
    <col min="13" max="13" width="12.7109375" style="43" customWidth="1"/>
    <col min="14" max="14" width="15.7109375" style="43" customWidth="1"/>
    <col min="15" max="15" width="17" style="43" customWidth="1"/>
    <col min="16" max="16" width="12.85546875" style="43" customWidth="1"/>
    <col min="17" max="17" width="15.28515625" style="43" customWidth="1"/>
    <col min="18" max="16384" width="9.140625" style="43"/>
  </cols>
  <sheetData>
    <row r="1" spans="1:18" s="449" customFormat="1" ht="15">
      <c r="A1" s="448"/>
      <c r="B1" s="448"/>
      <c r="C1" s="448"/>
      <c r="D1" s="448"/>
      <c r="E1" s="448"/>
      <c r="F1" s="448"/>
      <c r="G1" s="448"/>
      <c r="H1" s="448"/>
      <c r="I1" s="448"/>
      <c r="J1" s="448"/>
    </row>
    <row r="2" spans="1:18" s="448" customFormat="1">
      <c r="A2" s="450" t="s">
        <v>142</v>
      </c>
      <c r="D2" s="451"/>
      <c r="E2" s="452"/>
      <c r="F2" s="452"/>
      <c r="G2" s="452"/>
      <c r="H2" s="452"/>
      <c r="I2" s="452"/>
      <c r="J2" s="452"/>
      <c r="K2" s="452"/>
      <c r="L2" s="452"/>
      <c r="M2" s="451"/>
      <c r="N2" s="451"/>
      <c r="O2" s="451"/>
      <c r="P2" s="451"/>
    </row>
    <row r="3" spans="1:18" s="448" customFormat="1"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</row>
    <row r="4" spans="1:18" s="448" customFormat="1">
      <c r="D4" s="453"/>
      <c r="M4" s="453"/>
      <c r="N4" s="453"/>
      <c r="O4" s="453"/>
      <c r="P4" s="453"/>
    </row>
    <row r="5" spans="1:18" s="448" customFormat="1">
      <c r="A5" s="452" t="s">
        <v>144</v>
      </c>
      <c r="B5" s="454"/>
      <c r="C5" s="452" t="s">
        <v>145</v>
      </c>
      <c r="D5" s="451"/>
      <c r="F5" s="452" t="s">
        <v>147</v>
      </c>
      <c r="H5" s="454"/>
      <c r="L5" s="452"/>
      <c r="M5" s="453"/>
      <c r="N5" s="453"/>
      <c r="O5" s="453"/>
      <c r="P5" s="453"/>
    </row>
    <row r="6" spans="1:18">
      <c r="A6" s="46"/>
      <c r="B6" s="47"/>
      <c r="C6" s="452" t="s">
        <v>146</v>
      </c>
      <c r="D6" s="48"/>
      <c r="E6" s="46"/>
      <c r="F6" s="46"/>
      <c r="G6" s="46"/>
      <c r="I6" s="46"/>
      <c r="K6" s="46"/>
      <c r="L6" s="47"/>
      <c r="M6" s="47"/>
    </row>
    <row r="7" spans="1:18" ht="15.75">
      <c r="D7" s="128" t="s">
        <v>117</v>
      </c>
      <c r="E7" s="125"/>
      <c r="F7" s="634" t="s">
        <v>118</v>
      </c>
      <c r="G7" s="634"/>
      <c r="H7" s="455"/>
      <c r="I7" s="127"/>
      <c r="J7" s="127"/>
      <c r="K7" s="127"/>
      <c r="L7" s="127"/>
      <c r="M7" s="127"/>
      <c r="N7" s="127"/>
    </row>
    <row r="8" spans="1:18" s="449" customFormat="1" ht="15">
      <c r="A8" s="448"/>
      <c r="B8" s="448"/>
      <c r="C8" s="448"/>
      <c r="D8" s="448"/>
      <c r="E8" s="448"/>
      <c r="F8" s="448"/>
      <c r="G8" s="448"/>
      <c r="H8" s="448"/>
      <c r="I8" s="448"/>
      <c r="J8" s="448"/>
      <c r="K8" s="448"/>
    </row>
    <row r="9" spans="1:18" s="459" customFormat="1">
      <c r="A9" s="456">
        <v>42315</v>
      </c>
      <c r="B9" s="457"/>
      <c r="C9" s="458" t="s">
        <v>347</v>
      </c>
      <c r="D9" s="457"/>
      <c r="F9" s="457"/>
      <c r="Q9" s="457"/>
    </row>
    <row r="10" spans="1:18" s="459" customFormat="1" ht="49.5" customHeight="1">
      <c r="A10" s="460" t="s">
        <v>228</v>
      </c>
      <c r="B10" s="460" t="s">
        <v>229</v>
      </c>
      <c r="C10" s="460" t="s">
        <v>230</v>
      </c>
      <c r="D10" s="460" t="s">
        <v>232</v>
      </c>
      <c r="E10" s="460" t="s">
        <v>233</v>
      </c>
      <c r="F10" s="460" t="s">
        <v>234</v>
      </c>
      <c r="G10" s="460" t="s">
        <v>235</v>
      </c>
      <c r="H10" s="460" t="s">
        <v>236</v>
      </c>
      <c r="I10" s="460" t="s">
        <v>237</v>
      </c>
      <c r="J10" s="460" t="s">
        <v>238</v>
      </c>
      <c r="K10" s="460" t="s">
        <v>239</v>
      </c>
      <c r="L10" s="460" t="s">
        <v>240</v>
      </c>
      <c r="Q10" s="461" t="s">
        <v>598</v>
      </c>
      <c r="R10" s="462" t="s">
        <v>139</v>
      </c>
    </row>
    <row r="11" spans="1:18" s="459" customFormat="1" ht="49.5" customHeight="1">
      <c r="A11" s="460" t="s">
        <v>13</v>
      </c>
      <c r="B11" s="460" t="s">
        <v>242</v>
      </c>
      <c r="C11" s="460" t="s">
        <v>243</v>
      </c>
      <c r="D11" s="463" t="s">
        <v>245</v>
      </c>
      <c r="E11" s="464" t="s">
        <v>246</v>
      </c>
      <c r="F11" s="464" t="s">
        <v>247</v>
      </c>
      <c r="G11" s="464" t="s">
        <v>248</v>
      </c>
      <c r="H11" s="464" t="s">
        <v>249</v>
      </c>
      <c r="I11" s="464" t="s">
        <v>250</v>
      </c>
      <c r="J11" s="464" t="s">
        <v>251</v>
      </c>
      <c r="K11" s="460" t="s">
        <v>252</v>
      </c>
      <c r="L11" s="460" t="s">
        <v>253</v>
      </c>
      <c r="P11" s="460" t="s">
        <v>353</v>
      </c>
      <c r="Q11" s="460" t="s">
        <v>240</v>
      </c>
      <c r="R11" s="460" t="s">
        <v>240</v>
      </c>
    </row>
    <row r="12" spans="1:18" s="459" customFormat="1">
      <c r="A12" s="465">
        <v>42196</v>
      </c>
      <c r="B12" s="466">
        <v>1</v>
      </c>
      <c r="C12" s="467">
        <v>1</v>
      </c>
      <c r="D12" s="468" t="s">
        <v>265</v>
      </c>
      <c r="E12" s="469" t="s">
        <v>59</v>
      </c>
      <c r="F12" s="467">
        <v>107.4</v>
      </c>
      <c r="G12" s="467">
        <v>96.4</v>
      </c>
      <c r="H12" s="467">
        <v>21.3</v>
      </c>
      <c r="I12" s="467">
        <f>F12-G12</f>
        <v>11</v>
      </c>
      <c r="J12" s="467">
        <f>G12-H12</f>
        <v>75.100000000000009</v>
      </c>
      <c r="K12" s="470">
        <f>I12/J12</f>
        <v>0.14647137150466044</v>
      </c>
      <c r="L12" s="471">
        <f>J12/50</f>
        <v>1.5020000000000002</v>
      </c>
      <c r="M12" s="472">
        <f>AVERAGE(L12:L14)</f>
        <v>1.5426666666666666</v>
      </c>
      <c r="P12" s="459" t="s">
        <v>59</v>
      </c>
      <c r="Q12" s="473">
        <v>1.4006666666666667</v>
      </c>
      <c r="R12" s="457">
        <v>1.54</v>
      </c>
    </row>
    <row r="13" spans="1:18" s="459" customFormat="1">
      <c r="A13" s="474"/>
      <c r="B13" s="475">
        <v>2</v>
      </c>
      <c r="C13" s="476">
        <v>2</v>
      </c>
      <c r="D13" s="477" t="s">
        <v>264</v>
      </c>
      <c r="E13" s="478" t="s">
        <v>59</v>
      </c>
      <c r="F13" s="476">
        <v>112.8</v>
      </c>
      <c r="G13" s="476">
        <v>101.1</v>
      </c>
      <c r="H13" s="476">
        <v>21.5</v>
      </c>
      <c r="I13" s="476">
        <f t="shared" ref="I13:J28" si="0">F13-G13</f>
        <v>11.700000000000003</v>
      </c>
      <c r="J13" s="476">
        <f t="shared" si="0"/>
        <v>79.599999999999994</v>
      </c>
      <c r="K13" s="479">
        <f t="shared" ref="K13:K56" si="1">I13/J13</f>
        <v>0.14698492462311563</v>
      </c>
      <c r="L13" s="480">
        <f t="shared" ref="L13:L56" si="2">J13/50</f>
        <v>1.5919999999999999</v>
      </c>
      <c r="P13" s="481" t="s">
        <v>348</v>
      </c>
      <c r="Q13" s="473">
        <v>1.4733333333333334</v>
      </c>
      <c r="R13" s="457">
        <v>1.48</v>
      </c>
    </row>
    <row r="14" spans="1:18" s="459" customFormat="1">
      <c r="A14" s="474"/>
      <c r="B14" s="482">
        <v>3</v>
      </c>
      <c r="C14" s="483">
        <v>3</v>
      </c>
      <c r="D14" s="484" t="s">
        <v>271</v>
      </c>
      <c r="E14" s="485" t="s">
        <v>59</v>
      </c>
      <c r="F14" s="483">
        <v>109.7</v>
      </c>
      <c r="G14" s="483">
        <v>98.8</v>
      </c>
      <c r="H14" s="483">
        <v>22.1</v>
      </c>
      <c r="I14" s="483">
        <f t="shared" si="0"/>
        <v>10.900000000000006</v>
      </c>
      <c r="J14" s="483">
        <f t="shared" si="0"/>
        <v>76.699999999999989</v>
      </c>
      <c r="K14" s="486">
        <f t="shared" si="1"/>
        <v>0.14211212516297272</v>
      </c>
      <c r="L14" s="487">
        <f t="shared" si="2"/>
        <v>1.5339999999999998</v>
      </c>
      <c r="P14" s="459" t="s">
        <v>60</v>
      </c>
      <c r="Q14" s="473">
        <v>1.5720000000000001</v>
      </c>
      <c r="R14" s="457">
        <v>1.7</v>
      </c>
    </row>
    <row r="15" spans="1:18" s="459" customFormat="1">
      <c r="A15" s="474"/>
      <c r="B15" s="466">
        <v>1</v>
      </c>
      <c r="C15" s="467">
        <v>1</v>
      </c>
      <c r="D15" s="469" t="s">
        <v>361</v>
      </c>
      <c r="E15" s="469" t="s">
        <v>262</v>
      </c>
      <c r="F15" s="467">
        <v>105.2</v>
      </c>
      <c r="G15" s="467">
        <v>95.5</v>
      </c>
      <c r="H15" s="467">
        <v>22.1</v>
      </c>
      <c r="I15" s="467">
        <f t="shared" si="0"/>
        <v>9.7000000000000028</v>
      </c>
      <c r="J15" s="467">
        <f t="shared" si="0"/>
        <v>73.400000000000006</v>
      </c>
      <c r="K15" s="470">
        <f t="shared" si="1"/>
        <v>0.13215258855585835</v>
      </c>
      <c r="L15" s="471">
        <f t="shared" si="2"/>
        <v>1.4680000000000002</v>
      </c>
      <c r="M15" s="472">
        <f>AVERAGE(L15:L17)</f>
        <v>1.4846666666666668</v>
      </c>
      <c r="P15" s="459" t="s">
        <v>61</v>
      </c>
      <c r="Q15" s="473">
        <v>1.704</v>
      </c>
      <c r="R15" s="457">
        <v>1.69</v>
      </c>
    </row>
    <row r="16" spans="1:18" s="459" customFormat="1">
      <c r="A16" s="474"/>
      <c r="B16" s="475">
        <v>2</v>
      </c>
      <c r="C16" s="476">
        <v>2</v>
      </c>
      <c r="D16" s="477" t="s">
        <v>599</v>
      </c>
      <c r="E16" s="478" t="s">
        <v>262</v>
      </c>
      <c r="F16" s="488">
        <v>106.5</v>
      </c>
      <c r="G16" s="488">
        <v>96.6</v>
      </c>
      <c r="H16" s="488">
        <v>23.1</v>
      </c>
      <c r="I16" s="476">
        <f t="shared" si="0"/>
        <v>9.9000000000000057</v>
      </c>
      <c r="J16" s="476">
        <f t="shared" si="0"/>
        <v>73.5</v>
      </c>
      <c r="K16" s="479">
        <f t="shared" si="1"/>
        <v>0.1346938775510205</v>
      </c>
      <c r="L16" s="480">
        <f t="shared" si="2"/>
        <v>1.47</v>
      </c>
      <c r="P16" s="459" t="s">
        <v>62</v>
      </c>
      <c r="Q16" s="473">
        <v>1.5446666666666669</v>
      </c>
      <c r="R16" s="457">
        <v>1.64</v>
      </c>
    </row>
    <row r="17" spans="1:18" s="459" customFormat="1">
      <c r="A17" s="474"/>
      <c r="B17" s="482">
        <v>3</v>
      </c>
      <c r="C17" s="483">
        <v>3</v>
      </c>
      <c r="D17" s="484" t="s">
        <v>538</v>
      </c>
      <c r="E17" s="485" t="s">
        <v>262</v>
      </c>
      <c r="F17" s="483">
        <v>109.7</v>
      </c>
      <c r="G17" s="483">
        <v>99.9</v>
      </c>
      <c r="H17" s="483">
        <v>24.1</v>
      </c>
      <c r="I17" s="483">
        <f t="shared" si="0"/>
        <v>9.7999999999999972</v>
      </c>
      <c r="J17" s="483">
        <f t="shared" si="0"/>
        <v>75.800000000000011</v>
      </c>
      <c r="K17" s="486">
        <f t="shared" si="1"/>
        <v>0.12928759894459096</v>
      </c>
      <c r="L17" s="489">
        <f t="shared" si="2"/>
        <v>1.5160000000000002</v>
      </c>
      <c r="P17" s="459" t="s">
        <v>63</v>
      </c>
      <c r="Q17" s="473">
        <v>1.4306666666666665</v>
      </c>
      <c r="R17" s="457">
        <v>1.64</v>
      </c>
    </row>
    <row r="18" spans="1:18" s="459" customFormat="1">
      <c r="A18" s="474"/>
      <c r="B18" s="466">
        <v>1</v>
      </c>
      <c r="C18" s="467">
        <v>1</v>
      </c>
      <c r="D18" s="468" t="s">
        <v>600</v>
      </c>
      <c r="E18" s="469" t="s">
        <v>60</v>
      </c>
      <c r="F18" s="467">
        <v>121.7</v>
      </c>
      <c r="G18" s="467">
        <v>111.9</v>
      </c>
      <c r="H18" s="467">
        <v>25.9</v>
      </c>
      <c r="I18" s="467">
        <f t="shared" si="0"/>
        <v>9.7999999999999972</v>
      </c>
      <c r="J18" s="467">
        <f t="shared" si="0"/>
        <v>86</v>
      </c>
      <c r="K18" s="470">
        <f t="shared" si="1"/>
        <v>0.11395348837209299</v>
      </c>
      <c r="L18" s="471">
        <f t="shared" si="2"/>
        <v>1.72</v>
      </c>
      <c r="M18" s="472">
        <f>AVERAGE(L18:L20)</f>
        <v>1.7046666666666666</v>
      </c>
      <c r="P18" s="459" t="s">
        <v>64</v>
      </c>
      <c r="Q18" s="473">
        <v>1.5126666666666668</v>
      </c>
      <c r="R18" s="457">
        <v>1.54</v>
      </c>
    </row>
    <row r="19" spans="1:18" s="459" customFormat="1">
      <c r="A19" s="474"/>
      <c r="B19" s="475">
        <v>2</v>
      </c>
      <c r="C19" s="476">
        <v>2</v>
      </c>
      <c r="D19" s="477" t="s">
        <v>601</v>
      </c>
      <c r="E19" s="478" t="s">
        <v>60</v>
      </c>
      <c r="F19" s="476">
        <v>120.5</v>
      </c>
      <c r="G19" s="476">
        <v>110</v>
      </c>
      <c r="H19" s="476">
        <v>24.7</v>
      </c>
      <c r="I19" s="476">
        <f t="shared" si="0"/>
        <v>10.5</v>
      </c>
      <c r="J19" s="476">
        <f t="shared" si="0"/>
        <v>85.3</v>
      </c>
      <c r="K19" s="479">
        <f t="shared" si="1"/>
        <v>0.12309495896834702</v>
      </c>
      <c r="L19" s="480">
        <f t="shared" si="2"/>
        <v>1.706</v>
      </c>
      <c r="P19" s="459" t="s">
        <v>65</v>
      </c>
      <c r="Q19" s="473">
        <v>1.4366666666666665</v>
      </c>
      <c r="R19" s="457">
        <v>1.52</v>
      </c>
    </row>
    <row r="20" spans="1:18" s="459" customFormat="1">
      <c r="A20" s="474"/>
      <c r="B20" s="482">
        <v>3</v>
      </c>
      <c r="C20" s="483">
        <v>3</v>
      </c>
      <c r="D20" s="484" t="s">
        <v>411</v>
      </c>
      <c r="E20" s="485" t="s">
        <v>60</v>
      </c>
      <c r="F20" s="483">
        <v>118.1</v>
      </c>
      <c r="G20" s="483">
        <v>108.1</v>
      </c>
      <c r="H20" s="483">
        <v>23.7</v>
      </c>
      <c r="I20" s="483">
        <f t="shared" si="0"/>
        <v>10</v>
      </c>
      <c r="J20" s="483">
        <f t="shared" si="0"/>
        <v>84.399999999999991</v>
      </c>
      <c r="K20" s="486">
        <f t="shared" si="1"/>
        <v>0.1184834123222749</v>
      </c>
      <c r="L20" s="487">
        <f t="shared" si="2"/>
        <v>1.6879999999999997</v>
      </c>
      <c r="P20" s="459" t="s">
        <v>66</v>
      </c>
      <c r="Q20" s="473">
        <v>1.4373333333333334</v>
      </c>
      <c r="R20" s="457">
        <v>1.47</v>
      </c>
    </row>
    <row r="21" spans="1:18" s="459" customFormat="1">
      <c r="A21" s="474"/>
      <c r="B21" s="466">
        <v>1</v>
      </c>
      <c r="C21" s="467">
        <v>1</v>
      </c>
      <c r="D21" s="468" t="s">
        <v>602</v>
      </c>
      <c r="E21" s="469" t="s">
        <v>61</v>
      </c>
      <c r="F21" s="467">
        <v>117.2</v>
      </c>
      <c r="G21" s="467">
        <v>107.1</v>
      </c>
      <c r="H21" s="467">
        <v>21.1</v>
      </c>
      <c r="I21" s="467">
        <f t="shared" si="0"/>
        <v>10.100000000000009</v>
      </c>
      <c r="J21" s="467">
        <f t="shared" si="0"/>
        <v>86</v>
      </c>
      <c r="K21" s="470">
        <f t="shared" si="1"/>
        <v>0.11744186046511638</v>
      </c>
      <c r="L21" s="471">
        <f t="shared" si="2"/>
        <v>1.72</v>
      </c>
      <c r="M21" s="472">
        <f>AVERAGE(L21:L23)</f>
        <v>1.6913333333333334</v>
      </c>
      <c r="P21" s="459" t="s">
        <v>67</v>
      </c>
      <c r="Q21" s="473">
        <v>1.516</v>
      </c>
      <c r="R21" s="457">
        <v>1.45</v>
      </c>
    </row>
    <row r="22" spans="1:18" s="459" customFormat="1">
      <c r="A22" s="490"/>
      <c r="B22" s="475">
        <v>2</v>
      </c>
      <c r="C22" s="476">
        <v>2</v>
      </c>
      <c r="D22" s="477" t="s">
        <v>290</v>
      </c>
      <c r="E22" s="478" t="s">
        <v>61</v>
      </c>
      <c r="F22" s="476">
        <v>118</v>
      </c>
      <c r="G22" s="476">
        <v>107.9</v>
      </c>
      <c r="H22" s="476">
        <v>22.6</v>
      </c>
      <c r="I22" s="476">
        <f t="shared" si="0"/>
        <v>10.099999999999994</v>
      </c>
      <c r="J22" s="476">
        <f t="shared" si="0"/>
        <v>85.300000000000011</v>
      </c>
      <c r="K22" s="479">
        <f t="shared" si="1"/>
        <v>0.11840562719812418</v>
      </c>
      <c r="L22" s="480">
        <f t="shared" si="2"/>
        <v>1.7060000000000002</v>
      </c>
      <c r="P22" s="459" t="s">
        <v>77</v>
      </c>
      <c r="Q22" s="473">
        <v>1.5620000000000001</v>
      </c>
      <c r="R22" s="457">
        <v>1.37</v>
      </c>
    </row>
    <row r="23" spans="1:18" s="459" customFormat="1">
      <c r="A23" s="474"/>
      <c r="B23" s="482">
        <v>3</v>
      </c>
      <c r="C23" s="483">
        <v>3</v>
      </c>
      <c r="D23" s="484" t="s">
        <v>311</v>
      </c>
      <c r="E23" s="485" t="s">
        <v>61</v>
      </c>
      <c r="F23" s="483">
        <v>114</v>
      </c>
      <c r="G23" s="483">
        <v>104</v>
      </c>
      <c r="H23" s="483">
        <v>21.6</v>
      </c>
      <c r="I23" s="483">
        <f t="shared" si="0"/>
        <v>10</v>
      </c>
      <c r="J23" s="483">
        <f t="shared" si="0"/>
        <v>82.4</v>
      </c>
      <c r="K23" s="486">
        <f t="shared" si="1"/>
        <v>0.12135922330097086</v>
      </c>
      <c r="L23" s="489">
        <f t="shared" si="2"/>
        <v>1.6480000000000001</v>
      </c>
      <c r="P23" s="459" t="s">
        <v>349</v>
      </c>
      <c r="Q23" s="473">
        <v>1.5573333333333335</v>
      </c>
      <c r="R23" s="457">
        <v>1.43</v>
      </c>
    </row>
    <row r="24" spans="1:18" s="459" customFormat="1">
      <c r="A24" s="474"/>
      <c r="B24" s="466">
        <v>1</v>
      </c>
      <c r="C24" s="467">
        <v>1</v>
      </c>
      <c r="D24" s="468" t="s">
        <v>603</v>
      </c>
      <c r="E24" s="467" t="s">
        <v>62</v>
      </c>
      <c r="F24" s="491">
        <v>112.5</v>
      </c>
      <c r="G24" s="491">
        <v>103.6</v>
      </c>
      <c r="H24" s="491">
        <v>21.4</v>
      </c>
      <c r="I24" s="491">
        <f t="shared" si="0"/>
        <v>8.9000000000000057</v>
      </c>
      <c r="J24" s="491">
        <f t="shared" si="0"/>
        <v>82.199999999999989</v>
      </c>
      <c r="K24" s="470">
        <f t="shared" si="1"/>
        <v>0.10827250608272515</v>
      </c>
      <c r="L24" s="471">
        <f t="shared" si="2"/>
        <v>1.6439999999999997</v>
      </c>
      <c r="M24" s="472">
        <f>AVERAGE(L24:L26)</f>
        <v>1.6439999999999999</v>
      </c>
      <c r="P24" s="459" t="s">
        <v>350</v>
      </c>
      <c r="Q24" s="473">
        <v>1.5119999999999998</v>
      </c>
      <c r="R24" s="457">
        <v>1.45</v>
      </c>
    </row>
    <row r="25" spans="1:18" s="459" customFormat="1">
      <c r="A25" s="474"/>
      <c r="B25" s="475">
        <v>2</v>
      </c>
      <c r="C25" s="476">
        <v>2</v>
      </c>
      <c r="D25" s="477" t="s">
        <v>277</v>
      </c>
      <c r="E25" s="476" t="s">
        <v>62</v>
      </c>
      <c r="F25" s="492">
        <v>111.5</v>
      </c>
      <c r="G25" s="492">
        <v>103.5</v>
      </c>
      <c r="H25" s="492">
        <v>22</v>
      </c>
      <c r="I25" s="492">
        <f t="shared" si="0"/>
        <v>8</v>
      </c>
      <c r="J25" s="492">
        <f t="shared" si="0"/>
        <v>81.5</v>
      </c>
      <c r="K25" s="479">
        <f t="shared" si="1"/>
        <v>9.815950920245399E-2</v>
      </c>
      <c r="L25" s="480">
        <f t="shared" si="2"/>
        <v>1.63</v>
      </c>
      <c r="P25" s="459" t="s">
        <v>351</v>
      </c>
      <c r="Q25" s="473">
        <v>1.494</v>
      </c>
      <c r="R25" s="457">
        <v>1.55</v>
      </c>
    </row>
    <row r="26" spans="1:18" s="459" customFormat="1">
      <c r="A26" s="474"/>
      <c r="B26" s="482">
        <v>3</v>
      </c>
      <c r="C26" s="483">
        <v>3</v>
      </c>
      <c r="D26" s="485" t="s">
        <v>604</v>
      </c>
      <c r="E26" s="483" t="s">
        <v>62</v>
      </c>
      <c r="F26" s="493">
        <v>118.6</v>
      </c>
      <c r="G26" s="493">
        <v>110.3</v>
      </c>
      <c r="H26" s="493">
        <v>27.4</v>
      </c>
      <c r="I26" s="493">
        <f t="shared" si="0"/>
        <v>8.2999999999999972</v>
      </c>
      <c r="J26" s="493">
        <f t="shared" si="0"/>
        <v>82.9</v>
      </c>
      <c r="K26" s="486">
        <f t="shared" si="1"/>
        <v>0.10012062726176112</v>
      </c>
      <c r="L26" s="487">
        <f t="shared" si="2"/>
        <v>1.6580000000000001</v>
      </c>
      <c r="P26" s="459" t="s">
        <v>352</v>
      </c>
      <c r="Q26" s="473">
        <v>1.4866666666666666</v>
      </c>
      <c r="R26" s="457">
        <v>1.46</v>
      </c>
    </row>
    <row r="27" spans="1:18" s="459" customFormat="1">
      <c r="A27" s="474"/>
      <c r="B27" s="466">
        <v>1</v>
      </c>
      <c r="C27" s="467">
        <v>1</v>
      </c>
      <c r="D27" s="468" t="s">
        <v>605</v>
      </c>
      <c r="E27" s="467" t="s">
        <v>63</v>
      </c>
      <c r="F27" s="491">
        <v>126</v>
      </c>
      <c r="G27" s="491">
        <v>108</v>
      </c>
      <c r="H27" s="491">
        <v>25.1</v>
      </c>
      <c r="I27" s="491">
        <f t="shared" si="0"/>
        <v>18</v>
      </c>
      <c r="J27" s="491">
        <f t="shared" si="0"/>
        <v>82.9</v>
      </c>
      <c r="K27" s="470">
        <f t="shared" si="1"/>
        <v>0.21712907117008443</v>
      </c>
      <c r="L27" s="471">
        <f t="shared" si="2"/>
        <v>1.6580000000000001</v>
      </c>
      <c r="M27" s="472">
        <f>AVERAGE(L27:L29)</f>
        <v>1.6446666666666667</v>
      </c>
      <c r="Q27" s="457"/>
    </row>
    <row r="28" spans="1:18" s="459" customFormat="1">
      <c r="A28" s="474"/>
      <c r="B28" s="475">
        <v>2</v>
      </c>
      <c r="C28" s="476">
        <v>2</v>
      </c>
      <c r="D28" s="477" t="s">
        <v>315</v>
      </c>
      <c r="E28" s="476" t="s">
        <v>63</v>
      </c>
      <c r="F28" s="492">
        <v>122</v>
      </c>
      <c r="G28" s="492">
        <v>103.9</v>
      </c>
      <c r="H28" s="492">
        <v>19.899999999999999</v>
      </c>
      <c r="I28" s="492">
        <f t="shared" si="0"/>
        <v>18.099999999999994</v>
      </c>
      <c r="J28" s="492">
        <f t="shared" si="0"/>
        <v>84</v>
      </c>
      <c r="K28" s="479">
        <f t="shared" si="1"/>
        <v>0.2154761904761904</v>
      </c>
      <c r="L28" s="480">
        <f t="shared" si="2"/>
        <v>1.68</v>
      </c>
      <c r="Q28" s="457"/>
    </row>
    <row r="29" spans="1:18" s="459" customFormat="1">
      <c r="A29" s="474"/>
      <c r="B29" s="482">
        <v>3</v>
      </c>
      <c r="C29" s="483">
        <v>3</v>
      </c>
      <c r="D29" s="485" t="s">
        <v>366</v>
      </c>
      <c r="E29" s="483" t="s">
        <v>63</v>
      </c>
      <c r="F29" s="493">
        <v>130.4</v>
      </c>
      <c r="G29" s="493">
        <v>110</v>
      </c>
      <c r="H29" s="493">
        <v>30.2</v>
      </c>
      <c r="I29" s="493">
        <f t="shared" ref="I29:J43" si="3">F29-G29</f>
        <v>20.400000000000006</v>
      </c>
      <c r="J29" s="493">
        <f t="shared" si="3"/>
        <v>79.8</v>
      </c>
      <c r="K29" s="486">
        <f t="shared" si="1"/>
        <v>0.255639097744361</v>
      </c>
      <c r="L29" s="487">
        <f t="shared" si="2"/>
        <v>1.5959999999999999</v>
      </c>
      <c r="Q29" s="457"/>
    </row>
    <row r="30" spans="1:18" s="459" customFormat="1">
      <c r="A30" s="474"/>
      <c r="B30" s="466">
        <v>1</v>
      </c>
      <c r="C30" s="467">
        <v>1</v>
      </c>
      <c r="D30" s="469" t="s">
        <v>606</v>
      </c>
      <c r="E30" s="467" t="s">
        <v>64</v>
      </c>
      <c r="F30" s="491">
        <v>119.9</v>
      </c>
      <c r="G30" s="491">
        <v>98.7</v>
      </c>
      <c r="H30" s="491">
        <v>23.1</v>
      </c>
      <c r="I30" s="491">
        <f t="shared" si="3"/>
        <v>21.200000000000003</v>
      </c>
      <c r="J30" s="491">
        <f t="shared" si="3"/>
        <v>75.599999999999994</v>
      </c>
      <c r="K30" s="470">
        <f t="shared" si="1"/>
        <v>0.28042328042328046</v>
      </c>
      <c r="L30" s="494">
        <f t="shared" si="2"/>
        <v>1.5119999999999998</v>
      </c>
      <c r="M30" s="472">
        <f>AVERAGE(L30:L32)</f>
        <v>1.5439999999999998</v>
      </c>
      <c r="Q30" s="457"/>
    </row>
    <row r="31" spans="1:18" s="459" customFormat="1">
      <c r="A31" s="474"/>
      <c r="B31" s="475">
        <v>2</v>
      </c>
      <c r="C31" s="476">
        <v>2</v>
      </c>
      <c r="D31" s="477" t="s">
        <v>322</v>
      </c>
      <c r="E31" s="476" t="s">
        <v>64</v>
      </c>
      <c r="F31" s="492">
        <v>121.7</v>
      </c>
      <c r="G31" s="492">
        <v>100.3</v>
      </c>
      <c r="H31" s="492">
        <v>22.7</v>
      </c>
      <c r="I31" s="492">
        <f t="shared" si="3"/>
        <v>21.400000000000006</v>
      </c>
      <c r="J31" s="492">
        <f t="shared" si="3"/>
        <v>77.599999999999994</v>
      </c>
      <c r="K31" s="479">
        <f t="shared" si="1"/>
        <v>0.27577319587628873</v>
      </c>
      <c r="L31" s="480">
        <f t="shared" si="2"/>
        <v>1.5519999999999998</v>
      </c>
      <c r="Q31" s="457"/>
    </row>
    <row r="32" spans="1:18" s="459" customFormat="1">
      <c r="A32" s="490"/>
      <c r="B32" s="482">
        <v>3</v>
      </c>
      <c r="C32" s="483">
        <v>3</v>
      </c>
      <c r="D32" s="484" t="s">
        <v>310</v>
      </c>
      <c r="E32" s="483" t="s">
        <v>64</v>
      </c>
      <c r="F32" s="493">
        <v>122.3</v>
      </c>
      <c r="G32" s="495">
        <v>101</v>
      </c>
      <c r="H32" s="493">
        <v>22.6</v>
      </c>
      <c r="I32" s="493">
        <f>F32-G32</f>
        <v>21.299999999999997</v>
      </c>
      <c r="J32" s="493">
        <f t="shared" si="3"/>
        <v>78.400000000000006</v>
      </c>
      <c r="K32" s="486">
        <f t="shared" si="1"/>
        <v>0.27168367346938771</v>
      </c>
      <c r="L32" s="487">
        <f t="shared" si="2"/>
        <v>1.5680000000000001</v>
      </c>
      <c r="Q32" s="457"/>
    </row>
    <row r="33" spans="1:17" s="459" customFormat="1">
      <c r="A33" s="474"/>
      <c r="B33" s="466">
        <v>1</v>
      </c>
      <c r="C33" s="467">
        <v>1</v>
      </c>
      <c r="D33" s="468" t="s">
        <v>607</v>
      </c>
      <c r="E33" s="467" t="s">
        <v>65</v>
      </c>
      <c r="F33" s="491">
        <v>122.1</v>
      </c>
      <c r="G33" s="496">
        <v>99</v>
      </c>
      <c r="H33" s="496">
        <v>23.6</v>
      </c>
      <c r="I33" s="491">
        <f t="shared" ref="I33:J56" si="4">F33-G33</f>
        <v>23.099999999999994</v>
      </c>
      <c r="J33" s="491">
        <f t="shared" si="3"/>
        <v>75.400000000000006</v>
      </c>
      <c r="K33" s="470">
        <f t="shared" si="1"/>
        <v>0.30636604774535797</v>
      </c>
      <c r="L33" s="471">
        <f t="shared" si="2"/>
        <v>1.508</v>
      </c>
      <c r="M33" s="472">
        <f>AVERAGE(L33:L35)</f>
        <v>1.5233333333333332</v>
      </c>
      <c r="Q33" s="457"/>
    </row>
    <row r="34" spans="1:17" s="459" customFormat="1">
      <c r="A34" s="474"/>
      <c r="B34" s="475">
        <v>2</v>
      </c>
      <c r="C34" s="476">
        <v>2</v>
      </c>
      <c r="D34" s="477" t="s">
        <v>283</v>
      </c>
      <c r="E34" s="476" t="s">
        <v>65</v>
      </c>
      <c r="F34" s="492">
        <v>120.6</v>
      </c>
      <c r="G34" s="492">
        <v>98</v>
      </c>
      <c r="H34" s="492">
        <v>22.5</v>
      </c>
      <c r="I34" s="492">
        <f t="shared" si="4"/>
        <v>22.599999999999994</v>
      </c>
      <c r="J34" s="492">
        <f t="shared" si="3"/>
        <v>75.5</v>
      </c>
      <c r="K34" s="479">
        <f t="shared" si="1"/>
        <v>0.29933774834437077</v>
      </c>
      <c r="L34" s="480">
        <f t="shared" si="2"/>
        <v>1.51</v>
      </c>
      <c r="Q34" s="457"/>
    </row>
    <row r="35" spans="1:17" s="459" customFormat="1">
      <c r="A35" s="474"/>
      <c r="B35" s="475">
        <v>3</v>
      </c>
      <c r="C35" s="476">
        <v>3</v>
      </c>
      <c r="D35" s="477" t="s">
        <v>608</v>
      </c>
      <c r="E35" s="476" t="s">
        <v>65</v>
      </c>
      <c r="F35" s="497">
        <v>120.9</v>
      </c>
      <c r="G35" s="497">
        <v>100</v>
      </c>
      <c r="H35" s="497">
        <v>22.4</v>
      </c>
      <c r="I35" s="492">
        <f t="shared" si="4"/>
        <v>20.900000000000006</v>
      </c>
      <c r="J35" s="492">
        <f t="shared" si="3"/>
        <v>77.599999999999994</v>
      </c>
      <c r="K35" s="479">
        <f t="shared" si="1"/>
        <v>0.26932989690721659</v>
      </c>
      <c r="L35" s="480">
        <f t="shared" si="2"/>
        <v>1.5519999999999998</v>
      </c>
      <c r="Q35" s="457"/>
    </row>
    <row r="36" spans="1:17" s="459" customFormat="1">
      <c r="A36" s="474"/>
      <c r="B36" s="466">
        <v>1</v>
      </c>
      <c r="C36" s="467">
        <v>1</v>
      </c>
      <c r="D36" s="468" t="s">
        <v>609</v>
      </c>
      <c r="E36" s="467" t="s">
        <v>66</v>
      </c>
      <c r="F36" s="491">
        <v>121.9</v>
      </c>
      <c r="G36" s="491">
        <v>97.8</v>
      </c>
      <c r="H36" s="491">
        <v>25.3</v>
      </c>
      <c r="I36" s="491">
        <f t="shared" si="4"/>
        <v>24.100000000000009</v>
      </c>
      <c r="J36" s="491">
        <f t="shared" si="3"/>
        <v>72.5</v>
      </c>
      <c r="K36" s="470">
        <f>I36/J36</f>
        <v>0.33241379310344837</v>
      </c>
      <c r="L36" s="471">
        <f t="shared" si="2"/>
        <v>1.45</v>
      </c>
      <c r="M36" s="498">
        <f>AVERAGE(L36:L38)</f>
        <v>1.4653333333333336</v>
      </c>
      <c r="Q36" s="457"/>
    </row>
    <row r="37" spans="1:17" s="459" customFormat="1">
      <c r="A37" s="474"/>
      <c r="B37" s="475">
        <v>2</v>
      </c>
      <c r="C37" s="476">
        <v>2</v>
      </c>
      <c r="D37" s="477" t="s">
        <v>610</v>
      </c>
      <c r="E37" s="476" t="s">
        <v>66</v>
      </c>
      <c r="F37" s="492">
        <v>117.4</v>
      </c>
      <c r="G37" s="492">
        <v>93.7</v>
      </c>
      <c r="H37" s="492">
        <v>21.3</v>
      </c>
      <c r="I37" s="492">
        <f t="shared" si="4"/>
        <v>23.700000000000003</v>
      </c>
      <c r="J37" s="492">
        <f t="shared" si="3"/>
        <v>72.400000000000006</v>
      </c>
      <c r="K37" s="479">
        <f t="shared" si="1"/>
        <v>0.32734806629834257</v>
      </c>
      <c r="L37" s="480">
        <f t="shared" si="2"/>
        <v>1.4480000000000002</v>
      </c>
      <c r="M37" s="499"/>
      <c r="Q37" s="457"/>
    </row>
    <row r="38" spans="1:17" s="459" customFormat="1">
      <c r="A38" s="474"/>
      <c r="B38" s="475">
        <v>3</v>
      </c>
      <c r="C38" s="476">
        <v>3</v>
      </c>
      <c r="D38" s="477" t="s">
        <v>611</v>
      </c>
      <c r="E38" s="476" t="s">
        <v>66</v>
      </c>
      <c r="F38" s="492">
        <v>121.4</v>
      </c>
      <c r="G38" s="492">
        <v>98.7</v>
      </c>
      <c r="H38" s="492">
        <v>23.8</v>
      </c>
      <c r="I38" s="492">
        <f t="shared" si="4"/>
        <v>22.700000000000003</v>
      </c>
      <c r="J38" s="492">
        <f t="shared" si="3"/>
        <v>74.900000000000006</v>
      </c>
      <c r="K38" s="479">
        <f t="shared" si="1"/>
        <v>0.30307076101468627</v>
      </c>
      <c r="L38" s="500">
        <f t="shared" si="2"/>
        <v>1.4980000000000002</v>
      </c>
      <c r="M38" s="499"/>
      <c r="Q38" s="457"/>
    </row>
    <row r="39" spans="1:17" s="459" customFormat="1">
      <c r="A39" s="474"/>
      <c r="B39" s="466">
        <v>1</v>
      </c>
      <c r="C39" s="467">
        <v>1</v>
      </c>
      <c r="D39" s="468" t="s">
        <v>612</v>
      </c>
      <c r="E39" s="467" t="s">
        <v>67</v>
      </c>
      <c r="F39" s="491">
        <v>118.9</v>
      </c>
      <c r="G39" s="491">
        <v>94.7</v>
      </c>
      <c r="H39" s="491">
        <v>23.6</v>
      </c>
      <c r="I39" s="491">
        <f t="shared" si="4"/>
        <v>24.200000000000003</v>
      </c>
      <c r="J39" s="491">
        <f t="shared" si="3"/>
        <v>71.099999999999994</v>
      </c>
      <c r="K39" s="470">
        <f t="shared" si="1"/>
        <v>0.34036568213783408</v>
      </c>
      <c r="L39" s="471">
        <f t="shared" si="2"/>
        <v>1.4219999999999999</v>
      </c>
      <c r="M39" s="498">
        <f>AVERAGE(L39:L41)</f>
        <v>1.454</v>
      </c>
      <c r="Q39" s="457"/>
    </row>
    <row r="40" spans="1:17" s="459" customFormat="1">
      <c r="A40" s="474"/>
      <c r="B40" s="475">
        <v>2</v>
      </c>
      <c r="C40" s="476">
        <v>2</v>
      </c>
      <c r="D40" s="477" t="s">
        <v>261</v>
      </c>
      <c r="E40" s="476" t="s">
        <v>67</v>
      </c>
      <c r="F40" s="492">
        <v>116.7</v>
      </c>
      <c r="G40" s="492">
        <v>92.6</v>
      </c>
      <c r="H40" s="492">
        <v>21.1</v>
      </c>
      <c r="I40" s="492">
        <f t="shared" si="4"/>
        <v>24.100000000000009</v>
      </c>
      <c r="J40" s="492">
        <f t="shared" si="3"/>
        <v>71.5</v>
      </c>
      <c r="K40" s="479">
        <f t="shared" si="1"/>
        <v>0.33706293706293716</v>
      </c>
      <c r="L40" s="480">
        <f t="shared" si="2"/>
        <v>1.43</v>
      </c>
      <c r="M40" s="499"/>
      <c r="Q40" s="457"/>
    </row>
    <row r="41" spans="1:17" s="459" customFormat="1">
      <c r="A41" s="474"/>
      <c r="B41" s="482">
        <v>3</v>
      </c>
      <c r="C41" s="483">
        <v>3</v>
      </c>
      <c r="D41" s="484" t="s">
        <v>613</v>
      </c>
      <c r="E41" s="483" t="s">
        <v>67</v>
      </c>
      <c r="F41" s="493">
        <v>121.2</v>
      </c>
      <c r="G41" s="493">
        <v>98.4</v>
      </c>
      <c r="H41" s="493">
        <v>22.9</v>
      </c>
      <c r="I41" s="493">
        <f t="shared" si="4"/>
        <v>22.799999999999997</v>
      </c>
      <c r="J41" s="493">
        <f t="shared" si="3"/>
        <v>75.5</v>
      </c>
      <c r="K41" s="486">
        <f t="shared" si="1"/>
        <v>0.30198675496688737</v>
      </c>
      <c r="L41" s="489">
        <f t="shared" si="2"/>
        <v>1.51</v>
      </c>
      <c r="M41" s="501"/>
      <c r="Q41" s="457"/>
    </row>
    <row r="42" spans="1:17" s="459" customFormat="1">
      <c r="A42" s="490"/>
      <c r="B42" s="475">
        <v>1</v>
      </c>
      <c r="C42" s="476">
        <v>1</v>
      </c>
      <c r="D42" s="477" t="s">
        <v>318</v>
      </c>
      <c r="E42" s="476" t="s">
        <v>77</v>
      </c>
      <c r="F42" s="492">
        <v>115.2</v>
      </c>
      <c r="G42" s="492">
        <v>91.7</v>
      </c>
      <c r="H42" s="492">
        <v>22.2</v>
      </c>
      <c r="I42" s="492">
        <f t="shared" si="4"/>
        <v>23.5</v>
      </c>
      <c r="J42" s="492">
        <f t="shared" si="3"/>
        <v>69.5</v>
      </c>
      <c r="K42" s="479">
        <f t="shared" si="1"/>
        <v>0.33812949640287771</v>
      </c>
      <c r="L42" s="480">
        <f t="shared" si="2"/>
        <v>1.39</v>
      </c>
      <c r="M42" s="502">
        <f>AVERAGE(L42:L44)</f>
        <v>1.3679999999999997</v>
      </c>
      <c r="Q42" s="457"/>
    </row>
    <row r="43" spans="1:17" s="459" customFormat="1">
      <c r="A43" s="474"/>
      <c r="B43" s="475">
        <v>2</v>
      </c>
      <c r="C43" s="476">
        <v>2</v>
      </c>
      <c r="D43" s="477" t="s">
        <v>614</v>
      </c>
      <c r="E43" s="476" t="s">
        <v>77</v>
      </c>
      <c r="F43" s="492">
        <v>119.4</v>
      </c>
      <c r="G43" s="492">
        <v>95.6</v>
      </c>
      <c r="H43" s="497">
        <v>24.9</v>
      </c>
      <c r="I43" s="492">
        <f t="shared" si="4"/>
        <v>23.800000000000011</v>
      </c>
      <c r="J43" s="492">
        <f t="shared" si="3"/>
        <v>70.699999999999989</v>
      </c>
      <c r="K43" s="479">
        <f t="shared" si="1"/>
        <v>0.33663366336633682</v>
      </c>
      <c r="L43" s="480">
        <f t="shared" si="2"/>
        <v>1.4139999999999997</v>
      </c>
      <c r="M43" s="499"/>
      <c r="Q43" s="457"/>
    </row>
    <row r="44" spans="1:17" s="459" customFormat="1">
      <c r="A44" s="474"/>
      <c r="B44" s="482">
        <v>3</v>
      </c>
      <c r="C44" s="483">
        <v>3</v>
      </c>
      <c r="D44" s="484" t="s">
        <v>615</v>
      </c>
      <c r="E44" s="483" t="s">
        <v>77</v>
      </c>
      <c r="F44" s="495">
        <v>112.2</v>
      </c>
      <c r="G44" s="493">
        <v>91</v>
      </c>
      <c r="H44" s="493">
        <v>26</v>
      </c>
      <c r="I44" s="493">
        <f t="shared" si="4"/>
        <v>21.200000000000003</v>
      </c>
      <c r="J44" s="493">
        <f t="shared" si="4"/>
        <v>65</v>
      </c>
      <c r="K44" s="486">
        <f>I44/J44</f>
        <v>0.32615384615384618</v>
      </c>
      <c r="L44" s="489">
        <f t="shared" si="2"/>
        <v>1.3</v>
      </c>
      <c r="M44" s="501"/>
      <c r="Q44" s="457"/>
    </row>
    <row r="45" spans="1:17" s="459" customFormat="1">
      <c r="A45" s="474"/>
      <c r="B45" s="466">
        <v>1</v>
      </c>
      <c r="C45" s="467">
        <v>1</v>
      </c>
      <c r="D45" s="468" t="s">
        <v>616</v>
      </c>
      <c r="E45" s="469" t="s">
        <v>349</v>
      </c>
      <c r="F45" s="491">
        <v>118.5</v>
      </c>
      <c r="G45" s="491">
        <v>95.5</v>
      </c>
      <c r="H45" s="496">
        <v>23.7</v>
      </c>
      <c r="I45" s="491">
        <f t="shared" si="4"/>
        <v>23</v>
      </c>
      <c r="J45" s="491">
        <f t="shared" si="4"/>
        <v>71.8</v>
      </c>
      <c r="K45" s="470">
        <f t="shared" si="1"/>
        <v>0.3203342618384401</v>
      </c>
      <c r="L45" s="471">
        <f t="shared" si="2"/>
        <v>1.4359999999999999</v>
      </c>
      <c r="M45" s="498">
        <f>AVERAGE(L45:L47)</f>
        <v>1.4279999999999999</v>
      </c>
      <c r="Q45" s="457"/>
    </row>
    <row r="46" spans="1:17" s="459" customFormat="1">
      <c r="A46" s="474"/>
      <c r="B46" s="475">
        <v>2</v>
      </c>
      <c r="C46" s="476">
        <v>2</v>
      </c>
      <c r="D46" s="477" t="s">
        <v>617</v>
      </c>
      <c r="E46" s="478" t="s">
        <v>349</v>
      </c>
      <c r="F46" s="492">
        <v>117.4</v>
      </c>
      <c r="G46" s="492">
        <v>94.3</v>
      </c>
      <c r="H46" s="492">
        <v>22.7</v>
      </c>
      <c r="I46" s="492">
        <f t="shared" si="4"/>
        <v>23.100000000000009</v>
      </c>
      <c r="J46" s="492">
        <f t="shared" si="4"/>
        <v>71.599999999999994</v>
      </c>
      <c r="K46" s="479">
        <f t="shared" si="1"/>
        <v>0.32262569832402249</v>
      </c>
      <c r="L46" s="480">
        <f t="shared" si="2"/>
        <v>1.4319999999999999</v>
      </c>
      <c r="M46" s="499"/>
      <c r="Q46" s="457"/>
    </row>
    <row r="47" spans="1:17" s="459" customFormat="1">
      <c r="A47" s="474"/>
      <c r="B47" s="475">
        <v>3</v>
      </c>
      <c r="C47" s="476">
        <v>3</v>
      </c>
      <c r="D47" s="477" t="s">
        <v>618</v>
      </c>
      <c r="E47" s="478" t="s">
        <v>349</v>
      </c>
      <c r="F47" s="492">
        <v>117.6</v>
      </c>
      <c r="G47" s="492">
        <v>94.1</v>
      </c>
      <c r="H47" s="492">
        <v>23.3</v>
      </c>
      <c r="I47" s="492">
        <f t="shared" si="4"/>
        <v>23.5</v>
      </c>
      <c r="J47" s="492">
        <f t="shared" si="4"/>
        <v>70.8</v>
      </c>
      <c r="K47" s="479">
        <f t="shared" si="1"/>
        <v>0.33192090395480228</v>
      </c>
      <c r="L47" s="480">
        <f t="shared" si="2"/>
        <v>1.4159999999999999</v>
      </c>
      <c r="M47" s="499"/>
      <c r="Q47" s="457"/>
    </row>
    <row r="48" spans="1:17" s="459" customFormat="1">
      <c r="A48" s="474"/>
      <c r="B48" s="466">
        <v>1</v>
      </c>
      <c r="C48" s="467">
        <v>1</v>
      </c>
      <c r="D48" s="468" t="s">
        <v>269</v>
      </c>
      <c r="E48" s="469" t="s">
        <v>350</v>
      </c>
      <c r="F48" s="491">
        <v>117.6</v>
      </c>
      <c r="G48" s="491">
        <v>94.2</v>
      </c>
      <c r="H48" s="491">
        <v>20.8</v>
      </c>
      <c r="I48" s="491">
        <f t="shared" si="4"/>
        <v>23.399999999999991</v>
      </c>
      <c r="J48" s="491">
        <f t="shared" si="4"/>
        <v>73.400000000000006</v>
      </c>
      <c r="K48" s="470">
        <f t="shared" si="1"/>
        <v>0.31880108991825601</v>
      </c>
      <c r="L48" s="471">
        <f t="shared" si="2"/>
        <v>1.4680000000000002</v>
      </c>
      <c r="M48" s="498">
        <f>AVERAGE(L48:L50)</f>
        <v>1.4500000000000002</v>
      </c>
      <c r="Q48" s="457"/>
    </row>
    <row r="49" spans="1:17" s="459" customFormat="1">
      <c r="A49" s="474"/>
      <c r="B49" s="475">
        <v>2</v>
      </c>
      <c r="C49" s="476">
        <v>2</v>
      </c>
      <c r="D49" s="477" t="s">
        <v>619</v>
      </c>
      <c r="E49" s="478" t="s">
        <v>350</v>
      </c>
      <c r="F49" s="492">
        <v>122.7</v>
      </c>
      <c r="G49" s="492">
        <v>98.9</v>
      </c>
      <c r="H49" s="492">
        <v>25.8</v>
      </c>
      <c r="I49" s="492">
        <f t="shared" si="4"/>
        <v>23.799999999999997</v>
      </c>
      <c r="J49" s="492">
        <f t="shared" si="4"/>
        <v>73.100000000000009</v>
      </c>
      <c r="K49" s="479">
        <f t="shared" si="1"/>
        <v>0.32558139534883712</v>
      </c>
      <c r="L49" s="480">
        <f t="shared" si="2"/>
        <v>1.4620000000000002</v>
      </c>
      <c r="M49" s="499"/>
      <c r="Q49" s="457"/>
    </row>
    <row r="50" spans="1:17" s="459" customFormat="1">
      <c r="A50" s="474"/>
      <c r="B50" s="482">
        <v>3</v>
      </c>
      <c r="C50" s="483">
        <v>3</v>
      </c>
      <c r="D50" s="484" t="s">
        <v>620</v>
      </c>
      <c r="E50" s="485" t="s">
        <v>350</v>
      </c>
      <c r="F50" s="493">
        <v>120.7</v>
      </c>
      <c r="G50" s="493">
        <v>96.1</v>
      </c>
      <c r="H50" s="495">
        <v>25.1</v>
      </c>
      <c r="I50" s="493">
        <f t="shared" si="4"/>
        <v>24.600000000000009</v>
      </c>
      <c r="J50" s="493">
        <f t="shared" si="4"/>
        <v>71</v>
      </c>
      <c r="K50" s="486">
        <f>I50/J50</f>
        <v>0.34647887323943671</v>
      </c>
      <c r="L50" s="489">
        <f t="shared" si="2"/>
        <v>1.42</v>
      </c>
      <c r="M50" s="501"/>
      <c r="Q50" s="457"/>
    </row>
    <row r="51" spans="1:17" s="459" customFormat="1">
      <c r="A51" s="474"/>
      <c r="B51" s="466">
        <v>1</v>
      </c>
      <c r="C51" s="467">
        <v>1</v>
      </c>
      <c r="D51" s="468" t="s">
        <v>289</v>
      </c>
      <c r="E51" s="467" t="s">
        <v>351</v>
      </c>
      <c r="F51" s="491">
        <v>121.5</v>
      </c>
      <c r="G51" s="491">
        <v>98.4</v>
      </c>
      <c r="H51" s="491">
        <v>20.8</v>
      </c>
      <c r="I51" s="491">
        <f t="shared" si="4"/>
        <v>23.099999999999994</v>
      </c>
      <c r="J51" s="491">
        <f t="shared" si="4"/>
        <v>77.600000000000009</v>
      </c>
      <c r="K51" s="470">
        <f t="shared" si="1"/>
        <v>0.29768041237113391</v>
      </c>
      <c r="L51" s="471">
        <f t="shared" si="2"/>
        <v>1.5520000000000003</v>
      </c>
      <c r="M51" s="498">
        <f>AVERAGE(L51:L53)</f>
        <v>1.5473333333333334</v>
      </c>
      <c r="Q51" s="457"/>
    </row>
    <row r="52" spans="1:17" s="459" customFormat="1">
      <c r="A52" s="490"/>
      <c r="B52" s="475">
        <v>2</v>
      </c>
      <c r="C52" s="476">
        <v>2</v>
      </c>
      <c r="D52" s="477" t="s">
        <v>287</v>
      </c>
      <c r="E52" s="476" t="s">
        <v>351</v>
      </c>
      <c r="F52" s="492">
        <v>121.2</v>
      </c>
      <c r="G52" s="492">
        <v>98</v>
      </c>
      <c r="H52" s="492">
        <v>20.5</v>
      </c>
      <c r="I52" s="492">
        <f t="shared" si="4"/>
        <v>23.200000000000003</v>
      </c>
      <c r="J52" s="492">
        <f t="shared" si="4"/>
        <v>77.5</v>
      </c>
      <c r="K52" s="479">
        <f t="shared" si="1"/>
        <v>0.29935483870967744</v>
      </c>
      <c r="L52" s="480">
        <f t="shared" si="2"/>
        <v>1.55</v>
      </c>
      <c r="M52" s="499"/>
      <c r="Q52" s="457"/>
    </row>
    <row r="53" spans="1:17" s="459" customFormat="1">
      <c r="A53" s="474"/>
      <c r="B53" s="482">
        <v>3</v>
      </c>
      <c r="C53" s="483">
        <v>3</v>
      </c>
      <c r="D53" s="484" t="s">
        <v>621</v>
      </c>
      <c r="E53" s="483" t="s">
        <v>351</v>
      </c>
      <c r="F53" s="493">
        <v>123.5</v>
      </c>
      <c r="G53" s="493">
        <v>100.6</v>
      </c>
      <c r="H53" s="493">
        <v>23.6</v>
      </c>
      <c r="I53" s="493">
        <f t="shared" si="4"/>
        <v>22.900000000000006</v>
      </c>
      <c r="J53" s="493">
        <f t="shared" si="4"/>
        <v>77</v>
      </c>
      <c r="K53" s="486">
        <f t="shared" si="1"/>
        <v>0.2974025974025975</v>
      </c>
      <c r="L53" s="487">
        <f t="shared" si="2"/>
        <v>1.54</v>
      </c>
      <c r="M53" s="501"/>
      <c r="Q53" s="457"/>
    </row>
    <row r="54" spans="1:17" s="459" customFormat="1">
      <c r="A54" s="474"/>
      <c r="B54" s="475">
        <v>1</v>
      </c>
      <c r="C54" s="476">
        <v>1</v>
      </c>
      <c r="D54" s="477" t="s">
        <v>337</v>
      </c>
      <c r="E54" s="476" t="s">
        <v>352</v>
      </c>
      <c r="F54" s="492">
        <v>122.3</v>
      </c>
      <c r="G54" s="492">
        <v>97.8</v>
      </c>
      <c r="H54" s="492">
        <v>24.8</v>
      </c>
      <c r="I54" s="492">
        <f t="shared" si="4"/>
        <v>24.5</v>
      </c>
      <c r="J54" s="492">
        <f t="shared" si="4"/>
        <v>73</v>
      </c>
      <c r="K54" s="479">
        <f t="shared" si="1"/>
        <v>0.33561643835616439</v>
      </c>
      <c r="L54" s="480">
        <f t="shared" si="2"/>
        <v>1.46</v>
      </c>
      <c r="M54" s="502">
        <f>AVERAGE(L54:L56)</f>
        <v>1.4559999999999997</v>
      </c>
      <c r="Q54" s="457"/>
    </row>
    <row r="55" spans="1:17" s="459" customFormat="1">
      <c r="A55" s="474"/>
      <c r="B55" s="475">
        <v>2</v>
      </c>
      <c r="C55" s="476">
        <v>2</v>
      </c>
      <c r="D55" s="477" t="s">
        <v>622</v>
      </c>
      <c r="E55" s="476" t="s">
        <v>352</v>
      </c>
      <c r="F55" s="492">
        <v>122.1</v>
      </c>
      <c r="G55" s="492">
        <v>97.3</v>
      </c>
      <c r="H55" s="492">
        <v>24.3</v>
      </c>
      <c r="I55" s="492">
        <f t="shared" si="4"/>
        <v>24.799999999999997</v>
      </c>
      <c r="J55" s="492">
        <f t="shared" si="4"/>
        <v>73</v>
      </c>
      <c r="K55" s="479">
        <f t="shared" si="1"/>
        <v>0.33972602739726021</v>
      </c>
      <c r="L55" s="480">
        <f t="shared" si="2"/>
        <v>1.46</v>
      </c>
      <c r="M55" s="499"/>
      <c r="Q55" s="457"/>
    </row>
    <row r="56" spans="1:17" s="459" customFormat="1">
      <c r="A56" s="503"/>
      <c r="B56" s="482">
        <v>3</v>
      </c>
      <c r="C56" s="483">
        <v>3</v>
      </c>
      <c r="D56" s="484" t="s">
        <v>623</v>
      </c>
      <c r="E56" s="483" t="s">
        <v>352</v>
      </c>
      <c r="F56" s="493">
        <v>118.4</v>
      </c>
      <c r="G56" s="495">
        <v>95.1</v>
      </c>
      <c r="H56" s="495">
        <v>22.7</v>
      </c>
      <c r="I56" s="493">
        <f t="shared" si="4"/>
        <v>23.300000000000011</v>
      </c>
      <c r="J56" s="493">
        <f t="shared" si="4"/>
        <v>72.399999999999991</v>
      </c>
      <c r="K56" s="486">
        <f t="shared" si="1"/>
        <v>0.32182320441988971</v>
      </c>
      <c r="L56" s="487">
        <f t="shared" si="2"/>
        <v>1.4479999999999997</v>
      </c>
      <c r="M56" s="501"/>
      <c r="Q56" s="457"/>
    </row>
    <row r="57" spans="1:17">
      <c r="B57" s="476"/>
      <c r="C57" s="476"/>
    </row>
    <row r="58" spans="1:17">
      <c r="B58" s="476"/>
      <c r="C58" s="476"/>
    </row>
    <row r="59" spans="1:17">
      <c r="B59" s="476"/>
      <c r="C59" s="476"/>
    </row>
    <row r="68" spans="7:8">
      <c r="G68" s="43">
        <v>95.1</v>
      </c>
      <c r="H68" s="43">
        <v>22.7</v>
      </c>
    </row>
  </sheetData>
  <mergeCells count="1">
    <mergeCell ref="F7:G7"/>
  </mergeCells>
  <pageMargins left="0.23622047244094491" right="0.2362204724409449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Title</vt:lpstr>
      <vt:lpstr>Soil_profile_description</vt:lpstr>
      <vt:lpstr>Farming practices</vt:lpstr>
      <vt:lpstr>soil_texture_Karaozyak</vt:lpstr>
      <vt:lpstr>infiltration_rate</vt:lpstr>
      <vt:lpstr>Field_Capacity_Karaozyak</vt:lpstr>
      <vt:lpstr>Field_Capacity_Chimbay</vt:lpstr>
      <vt:lpstr>soil_bulk_density_Karaozyak</vt:lpstr>
      <vt:lpstr>soil_bulk_density_Chimbay</vt:lpstr>
      <vt:lpstr>initial_soil_moisture</vt:lpstr>
      <vt:lpstr>soil_moisture_06_11_2015</vt:lpstr>
      <vt:lpstr>soil_moistUre_18_10_15</vt:lpstr>
      <vt:lpstr>soil_moistUre_10_12_15</vt:lpstr>
      <vt:lpstr>NPK_Karaozyak</vt:lpstr>
      <vt:lpstr>FC_12-15_Nov_15_Karaozyak</vt:lpstr>
      <vt:lpstr>soil_chemical_23_Sep_2015</vt:lpstr>
      <vt:lpstr>EC_meter_9_ноя_2015</vt:lpstr>
      <vt:lpstr>EC_meter_23_Sep_2015</vt:lpstr>
      <vt:lpstr>Groundwater_quality1</vt:lpstr>
      <vt:lpstr>Soil_Moist_30_Oct_2015</vt:lpstr>
      <vt:lpstr>TDR</vt:lpstr>
      <vt:lpstr>germination</vt:lpstr>
    </vt:vector>
  </TitlesOfParts>
  <Company>IWMI-CAC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IWMI-GIS</dc:creator>
  <cp:lastModifiedBy>Tulkun</cp:lastModifiedBy>
  <dcterms:created xsi:type="dcterms:W3CDTF">2005-06-17T09:34:01Z</dcterms:created>
  <dcterms:modified xsi:type="dcterms:W3CDTF">2016-01-11T05:52:11Z</dcterms:modified>
</cp:coreProperties>
</file>